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5.xml" ContentType="application/vnd.openxmlformats-officedocument.spreadsheetml.comments+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7.xml" ContentType="application/vnd.openxmlformats-officedocument.spreadsheetml.comments+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8.xml" ContentType="application/vnd.openxmlformats-officedocument.spreadsheetml.comments+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9.xml" ContentType="application/vnd.openxmlformats-officedocument.spreadsheetml.comments+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0.xml" ContentType="application/vnd.openxmlformats-officedocument.spreadsheetml.comments+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1.xml" ContentType="application/vnd.openxmlformats-officedocument.spreadsheetml.comments+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2.xml" ContentType="application/vnd.openxmlformats-officedocument.spreadsheetml.comments+xml"/>
  <Override PartName="/xl/drawings/drawing1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3.xml" ContentType="application/vnd.openxmlformats-officedocument.spreadsheetml.comments+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APP\PA\PAForum\Web Publications\FINANCE\Sources and Uses\2018\"/>
    </mc:Choice>
  </mc:AlternateContent>
  <bookViews>
    <workbookView xWindow="45" yWindow="405" windowWidth="18645" windowHeight="5940" tabRatio="891"/>
  </bookViews>
  <sheets>
    <sheet name="Index" sheetId="78" r:id="rId1"/>
    <sheet name="SREB Input" sheetId="79" r:id="rId2"/>
    <sheet name="HRI Space Model" sheetId="68" state="hidden" r:id="rId3"/>
    <sheet name="HRI CTG Costs" sheetId="64" state="hidden" r:id="rId4"/>
    <sheet name="HRI Funding Comp" sheetId="63" state="hidden" r:id="rId5"/>
    <sheet name="Healthcare" sheetId="95" r:id="rId6"/>
    <sheet name="IFRS Smmy (2)" sheetId="100" r:id="rId7"/>
    <sheet name="IFRS Smmy" sheetId="74" state="hidden" r:id="rId8"/>
    <sheet name="Almanac" sheetId="73" r:id="rId9"/>
    <sheet name="TRB Eval HRI" sheetId="80" r:id="rId10"/>
    <sheet name="T&amp;F Summary" sheetId="97" r:id="rId11"/>
    <sheet name="HRI_IE_Context" sheetId="98" r:id="rId12"/>
    <sheet name="HRI_IE_Keys" sheetId="99" r:id="rId13"/>
    <sheet name="HRI Context NA" sheetId="101" r:id="rId14"/>
    <sheet name="HRI Keys NA" sheetId="102" r:id="rId15"/>
    <sheet name="ComRpt" sheetId="103" r:id="rId16"/>
    <sheet name="Smmy HRI SbS" sheetId="65" r:id="rId17"/>
    <sheet name="Smmy Chts" sheetId="56" r:id="rId18"/>
    <sheet name="Smmy Sum" sheetId="57" r:id="rId19"/>
    <sheet name="Smmy FGD" sheetId="94" r:id="rId20"/>
    <sheet name="Smmy Fnts" sheetId="58" r:id="rId21"/>
    <sheet name="SWM Chts" sheetId="1" r:id="rId22"/>
    <sheet name="SWM Sum" sheetId="2" r:id="rId23"/>
    <sheet name="SWM FGD" sheetId="14" r:id="rId24"/>
    <sheet name="SWM Fnts" sheetId="6" r:id="rId25"/>
    <sheet name="MBG Chts" sheetId="15" r:id="rId26"/>
    <sheet name="MBG Sum" sheetId="16" r:id="rId27"/>
    <sheet name="MBG FGD" sheetId="17" r:id="rId28"/>
    <sheet name="MBG Fnts" sheetId="18" r:id="rId29"/>
    <sheet name="HSH Chts" sheetId="20" r:id="rId30"/>
    <sheet name="HSH Sum" sheetId="21" r:id="rId31"/>
    <sheet name="HSH FGD" sheetId="22" r:id="rId32"/>
    <sheet name="HSH Fnts" sheetId="23" r:id="rId33"/>
    <sheet name="HSSA Chts" sheetId="25" r:id="rId34"/>
    <sheet name="HSSA Sum" sheetId="26" r:id="rId35"/>
    <sheet name="HSSA FGD" sheetId="27" r:id="rId36"/>
    <sheet name="HSSA Fnts" sheetId="28" r:id="rId37"/>
    <sheet name="MDA Chts" sheetId="30" r:id="rId38"/>
    <sheet name="MDA Sum" sheetId="31" r:id="rId39"/>
    <sheet name="MDA FGD" sheetId="32" r:id="rId40"/>
    <sheet name="MDA Fnts" sheetId="33" r:id="rId41"/>
    <sheet name="THC Chts" sheetId="35" r:id="rId42"/>
    <sheet name="THC Sum" sheetId="36" r:id="rId43"/>
    <sheet name="THC FGD" sheetId="37" r:id="rId44"/>
    <sheet name="THC Fnts" sheetId="38" r:id="rId45"/>
    <sheet name="TAMHSC Chts" sheetId="40" r:id="rId46"/>
    <sheet name="TAMHSC Sum" sheetId="41" r:id="rId47"/>
    <sheet name="TAMHSC FGD" sheetId="42" r:id="rId48"/>
    <sheet name="TAMHSC Fnts" sheetId="43" r:id="rId49"/>
    <sheet name="UNTHSC Chts" sheetId="45" r:id="rId50"/>
    <sheet name="UNTHSC Sum" sheetId="46" r:id="rId51"/>
    <sheet name="UNTHSC FGD" sheetId="47" r:id="rId52"/>
    <sheet name="UNTHSC Fnts" sheetId="48" r:id="rId53"/>
    <sheet name="TTUHSC Chts" sheetId="50" r:id="rId54"/>
    <sheet name="TTUHSC Sum" sheetId="51" r:id="rId55"/>
    <sheet name="TTUHSC FGD" sheetId="62" r:id="rId56"/>
    <sheet name="TTUHSC Fnts" sheetId="53" r:id="rId57"/>
    <sheet name="TTUHSCEP Chts" sheetId="82" r:id="rId58"/>
    <sheet name="TTUHSCEP Sum" sheetId="83" r:id="rId59"/>
    <sheet name="TTUHSCEP FGD" sheetId="84" r:id="rId60"/>
    <sheet name="TTUHSCEP Fnts" sheetId="88" r:id="rId61"/>
    <sheet name="AUSM Chts" sheetId="85" r:id="rId62"/>
    <sheet name="AUSM Sum" sheetId="86" r:id="rId63"/>
    <sheet name="AUSM FGD" sheetId="87" r:id="rId64"/>
    <sheet name="AUSM Fnts" sheetId="89" r:id="rId65"/>
    <sheet name="RGVM Chts" sheetId="90" r:id="rId66"/>
    <sheet name="RGVM Sum" sheetId="91" r:id="rId67"/>
    <sheet name="RGVM FGD" sheetId="92" r:id="rId68"/>
    <sheet name="RGVM Fnts" sheetId="93" r:id="rId69"/>
    <sheet name="Names" sheetId="72" r:id="rId70"/>
    <sheet name="Input" sheetId="70" r:id="rId71"/>
    <sheet name="FTSE" sheetId="71" r:id="rId72"/>
    <sheet name="Balancing" sheetId="81" r:id="rId73"/>
  </sheets>
  <externalReferences>
    <externalReference r:id="rId74"/>
    <externalReference r:id="rId75"/>
    <externalReference r:id="rId76"/>
    <externalReference r:id="rId77"/>
    <externalReference r:id="rId78"/>
    <externalReference r:id="rId79"/>
    <externalReference r:id="rId80"/>
    <externalReference r:id="rId81"/>
  </externalReferences>
  <definedNames>
    <definedName name="_Key1" localSheetId="16" hidden="1">[1]Datareformat!#REF!</definedName>
    <definedName name="_Order1" hidden="1">255</definedName>
    <definedName name="_Order2" hidden="1">255</definedName>
    <definedName name="_Sort" localSheetId="8" hidden="1">#REF!</definedName>
    <definedName name="_Sort" localSheetId="64" hidden="1">#REF!</definedName>
    <definedName name="_Sort" localSheetId="72" hidden="1">#REF!</definedName>
    <definedName name="_Sort" localSheetId="5" hidden="1">#REF!</definedName>
    <definedName name="_Sort" localSheetId="13" hidden="1">#REF!</definedName>
    <definedName name="_Sort" localSheetId="3" hidden="1">#REF!</definedName>
    <definedName name="_Sort" localSheetId="4" hidden="1">#REF!</definedName>
    <definedName name="_Sort" localSheetId="14" hidden="1">#REF!</definedName>
    <definedName name="_Sort" localSheetId="11" hidden="1">#REF!</definedName>
    <definedName name="_Sort" localSheetId="12" hidden="1">#REF!</definedName>
    <definedName name="_Sort" localSheetId="7" hidden="1">#REF!</definedName>
    <definedName name="_Sort" localSheetId="6" hidden="1">#REF!</definedName>
    <definedName name="_Sort" localSheetId="0" hidden="1">#REF!</definedName>
    <definedName name="_Sort" localSheetId="68" hidden="1">#REF!</definedName>
    <definedName name="_Sort" localSheetId="19" hidden="1">#REF!</definedName>
    <definedName name="_Sort" localSheetId="16" hidden="1">#REF!</definedName>
    <definedName name="_Sort" localSheetId="10" hidden="1">#REF!</definedName>
    <definedName name="_Sort" localSheetId="9" hidden="1">#REF!</definedName>
    <definedName name="_Sort" localSheetId="60" hidden="1">#REF!</definedName>
    <definedName name="_Sort" hidden="1">#REF!</definedName>
    <definedName name="AMTLU" localSheetId="15">Names!$B$74:$I$88</definedName>
    <definedName name="AMTLU" localSheetId="5">Names!$B$74:$I$82</definedName>
    <definedName name="AMTLU" localSheetId="6">[2]Names!$B$11:$L$70</definedName>
    <definedName name="AMTLU" localSheetId="10">[3]Names!$B$11:$I$69</definedName>
    <definedName name="AMTLU">Names!$B$74:$I$88</definedName>
    <definedName name="FTSELU" localSheetId="15">FTSE!$A$6:$K$105</definedName>
    <definedName name="FTSELU" localSheetId="5">FTSE!$C$6:$N$45</definedName>
    <definedName name="FTSELU" localSheetId="6">[2]FTSE!$C$8:$S$59</definedName>
    <definedName name="FTSELU" localSheetId="10">[4]FTSE!$C$8:$S$48</definedName>
    <definedName name="FTSELU">FTSE!$A$6:$K$105</definedName>
    <definedName name="LUTTFTE">[5]FTSE!$C$8:$S$61</definedName>
    <definedName name="NamesLU" localSheetId="15">Names!$B$74:$D$88</definedName>
    <definedName name="NamesLU">Names!$B$74:$D$88</definedName>
    <definedName name="_xlnm.Print_Area" localSheetId="8">Almanac!$C$1:$P$42</definedName>
    <definedName name="_xlnm.Print_Area" localSheetId="61">'AUSM Chts'!$A$1:$A$140</definedName>
    <definedName name="_xlnm.Print_Area" localSheetId="63">'AUSM FGD'!$B$1:$M$102</definedName>
    <definedName name="_xlnm.Print_Area" localSheetId="64">'AUSM Fnts'!$A$1:$B$12</definedName>
    <definedName name="_xlnm.Print_Area" localSheetId="62">'AUSM Sum'!$A$1:$C$71</definedName>
    <definedName name="_xlnm.Print_Area" localSheetId="13">'HRI Context NA'!$A$1:$O$37</definedName>
    <definedName name="_xlnm.Print_Area" localSheetId="14">'HRI Keys NA'!$A$1:$R$24</definedName>
    <definedName name="_xlnm.Print_Area" localSheetId="2">'HRI Space Model'!$A$1:$E$37</definedName>
    <definedName name="_xlnm.Print_Area" localSheetId="11">HRI_IE_Context!$A$1:$O$38</definedName>
    <definedName name="_xlnm.Print_Area" localSheetId="12">HRI_IE_Keys!$A$1:$L$26</definedName>
    <definedName name="_xlnm.Print_Area" localSheetId="29">'HSH Chts'!$A$1:$A$140</definedName>
    <definedName name="_xlnm.Print_Area" localSheetId="31">'HSH FGD'!$B$1:$M$102</definedName>
    <definedName name="_xlnm.Print_Area" localSheetId="32">'HSH Fnts'!$A$1:$B$12</definedName>
    <definedName name="_xlnm.Print_Area" localSheetId="30">'HSH Sum'!$A$1:$C$71</definedName>
    <definedName name="_xlnm.Print_Area" localSheetId="33">'HSSA Chts'!$A$1:$A$140</definedName>
    <definedName name="_xlnm.Print_Area" localSheetId="35">'HSSA FGD'!$B$2:$M$102</definedName>
    <definedName name="_xlnm.Print_Area" localSheetId="36">'HSSA Fnts'!$A$1:$B$12</definedName>
    <definedName name="_xlnm.Print_Area" localSheetId="34">'HSSA Sum'!$A$1:$C$71</definedName>
    <definedName name="_xlnm.Print_Area" localSheetId="7">'IFRS Smmy'!$A$1:$N$27</definedName>
    <definedName name="_xlnm.Print_Area" localSheetId="6">'IFRS Smmy (2)'!$A$1:$AC$27</definedName>
    <definedName name="_xlnm.Print_Area" localSheetId="25">'MBG Chts'!$A$1:$A$140</definedName>
    <definedName name="_xlnm.Print_Area" localSheetId="27">'MBG FGD'!$B$1:$M$102</definedName>
    <definedName name="_xlnm.Print_Area" localSheetId="28">'MBG Fnts'!$A$1:$B$12</definedName>
    <definedName name="_xlnm.Print_Area" localSheetId="26">'MBG Sum'!$A$1:$C$71</definedName>
    <definedName name="_xlnm.Print_Area" localSheetId="37">'MDA Chts'!$A$1:$A$140</definedName>
    <definedName name="_xlnm.Print_Area" localSheetId="39">'MDA FGD'!$B$2:$M$102</definedName>
    <definedName name="_xlnm.Print_Area" localSheetId="40">'MDA Fnts'!$A$1:$B$12</definedName>
    <definedName name="_xlnm.Print_Area" localSheetId="38">'MDA Sum'!$A$1:$C$71</definedName>
    <definedName name="_xlnm.Print_Area" localSheetId="69">Names!$A$1:$H$122</definedName>
    <definedName name="_xlnm.Print_Area" localSheetId="65">'RGVM Chts'!$A$1:$A$140</definedName>
    <definedName name="_xlnm.Print_Area" localSheetId="67">'RGVM FGD'!$B$1:$M$102</definedName>
    <definedName name="_xlnm.Print_Area" localSheetId="68">'RGVM Fnts'!$A$1:$B$12</definedName>
    <definedName name="_xlnm.Print_Area" localSheetId="66">'RGVM Sum'!$A$1:$C$71</definedName>
    <definedName name="_xlnm.Print_Area" localSheetId="17">'Smmy Chts'!$A$1:$A$140</definedName>
    <definedName name="_xlnm.Print_Area" localSheetId="19">'Smmy FGD'!$B$1:$M$942</definedName>
    <definedName name="_xlnm.Print_Area" localSheetId="20">'Smmy Fnts'!$A$1:$B$12</definedName>
    <definedName name="_xlnm.Print_Area" localSheetId="16">'Smmy HRI SbS'!$A$1:$U$74</definedName>
    <definedName name="_xlnm.Print_Area" localSheetId="18">'Smmy Sum'!$A$1:$C$83</definedName>
    <definedName name="_xlnm.Print_Area" localSheetId="21">'SWM Chts'!$A$1:$A$140</definedName>
    <definedName name="_xlnm.Print_Area" localSheetId="23">'SWM FGD'!$B$1:$M$102</definedName>
    <definedName name="_xlnm.Print_Area" localSheetId="24">'SWM Fnts'!$A$1:$B$12</definedName>
    <definedName name="_xlnm.Print_Area" localSheetId="22">'SWM Sum'!$A$1:$C$71</definedName>
    <definedName name="_xlnm.Print_Area" localSheetId="10">'T&amp;F Summary'!$A$1:$I$28</definedName>
    <definedName name="_xlnm.Print_Area" localSheetId="45">'TAMHSC Chts'!$A$1:$A$140</definedName>
    <definedName name="_xlnm.Print_Area" localSheetId="47">'TAMHSC FGD'!$B$1:$M$102</definedName>
    <definedName name="_xlnm.Print_Area" localSheetId="48">'TAMHSC Fnts'!$A$1:$B$12</definedName>
    <definedName name="_xlnm.Print_Area" localSheetId="46">'TAMHSC Sum'!$A$1:$C$71</definedName>
    <definedName name="_xlnm.Print_Area" localSheetId="41">'THC Chts'!$A$1:$A$140</definedName>
    <definedName name="_xlnm.Print_Area" localSheetId="43">'THC FGD'!$B$2:$M$102</definedName>
    <definedName name="_xlnm.Print_Area" localSheetId="44">'THC Fnts'!$A$1:$B$12</definedName>
    <definedName name="_xlnm.Print_Area" localSheetId="42">'THC Sum'!$A$1:$C$71</definedName>
    <definedName name="_xlnm.Print_Area" localSheetId="9">'TRB Eval HRI'!$A$1:$P$25</definedName>
    <definedName name="_xlnm.Print_Area" localSheetId="53">'TTUHSC Chts'!$A$1:$A$140</definedName>
    <definedName name="_xlnm.Print_Area" localSheetId="55">'TTUHSC FGD'!$B$1:$M$102</definedName>
    <definedName name="_xlnm.Print_Area" localSheetId="56">'TTUHSC Fnts'!$A$1:$B$12</definedName>
    <definedName name="_xlnm.Print_Area" localSheetId="54">'TTUHSC Sum'!$A$1:$C$71</definedName>
    <definedName name="_xlnm.Print_Area" localSheetId="57">'TTUHSCEP Chts'!$A$1:$A$140</definedName>
    <definedName name="_xlnm.Print_Area" localSheetId="59">'TTUHSCEP FGD'!$B$1:$M$102</definedName>
    <definedName name="_xlnm.Print_Area" localSheetId="60">'TTUHSCEP Fnts'!$A$1:$B$12</definedName>
    <definedName name="_xlnm.Print_Area" localSheetId="58">'TTUHSCEP Sum'!$A$1:$C$71</definedName>
    <definedName name="_xlnm.Print_Area" localSheetId="49">'UNTHSC Chts'!$A$1:$A$140</definedName>
    <definedName name="_xlnm.Print_Area" localSheetId="51">'UNTHSC FGD'!$B$2:$M$102</definedName>
    <definedName name="_xlnm.Print_Area" localSheetId="52">'UNTHSC Fnts'!$A$1:$B$12</definedName>
    <definedName name="_xlnm.Print_Area" localSheetId="50">'UNTHSC Sum'!$A$1:$C$71</definedName>
    <definedName name="_xlnm.Print_Area">[6]FY92!$A$1</definedName>
    <definedName name="_xlnm.Print_Titles" localSheetId="15">ComRpt!$1:$4</definedName>
    <definedName name="_xlnm.Print_Titles" localSheetId="16">'Smmy HRI SbS'!$A:$A</definedName>
    <definedName name="Z_14D2702E_F84A_4D2B_A8E0_1BA0EE84A954_.wvu.Cols" localSheetId="62" hidden="1">'AUSM Sum'!#REF!,'AUSM Sum'!#REF!,'AUSM Sum'!#REF!,'AUSM Sum'!#REF!,'AUSM Sum'!#REF!,'AUSM Sum'!#REF!,'AUSM Sum'!#REF!,'AUSM Sum'!#REF!,'AUSM Sum'!#REF!</definedName>
    <definedName name="Z_14D2702E_F84A_4D2B_A8E0_1BA0EE84A954_.wvu.Cols" localSheetId="30" hidden="1">'HSH Sum'!#REF!,'HSH Sum'!#REF!,'HSH Sum'!#REF!,'HSH Sum'!#REF!,'HSH Sum'!#REF!,'HSH Sum'!#REF!,'HSH Sum'!#REF!,'HSH Sum'!#REF!,'HSH Sum'!#REF!</definedName>
    <definedName name="Z_14D2702E_F84A_4D2B_A8E0_1BA0EE84A954_.wvu.Cols" localSheetId="34" hidden="1">'HSSA Sum'!#REF!,'HSSA Sum'!#REF!,'HSSA Sum'!#REF!,'HSSA Sum'!#REF!,'HSSA Sum'!#REF!,'HSSA Sum'!#REF!,'HSSA Sum'!#REF!,'HSSA Sum'!#REF!,'HSSA Sum'!#REF!</definedName>
    <definedName name="Z_14D2702E_F84A_4D2B_A8E0_1BA0EE84A954_.wvu.Cols" localSheetId="26" hidden="1">'MBG Sum'!#REF!,'MBG Sum'!#REF!,'MBG Sum'!#REF!,'MBG Sum'!#REF!,'MBG Sum'!#REF!,'MBG Sum'!#REF!,'MBG Sum'!#REF!,'MBG Sum'!#REF!,'MBG Sum'!#REF!</definedName>
    <definedName name="Z_14D2702E_F84A_4D2B_A8E0_1BA0EE84A954_.wvu.Cols" localSheetId="38" hidden="1">'MDA Sum'!#REF!,'MDA Sum'!#REF!,'MDA Sum'!#REF!,'MDA Sum'!#REF!,'MDA Sum'!#REF!,'MDA Sum'!#REF!,'MDA Sum'!#REF!,'MDA Sum'!#REF!,'MDA Sum'!#REF!</definedName>
    <definedName name="Z_14D2702E_F84A_4D2B_A8E0_1BA0EE84A954_.wvu.Cols" localSheetId="66" hidden="1">'RGVM Sum'!#REF!,'RGVM Sum'!#REF!,'RGVM Sum'!#REF!,'RGVM Sum'!#REF!,'RGVM Sum'!#REF!,'RGVM Sum'!#REF!,'RGVM Sum'!#REF!,'RGVM Sum'!#REF!,'RGVM Sum'!#REF!</definedName>
    <definedName name="Z_14D2702E_F84A_4D2B_A8E0_1BA0EE84A954_.wvu.Cols" localSheetId="16" hidden="1">'Smmy HRI SbS'!#REF!,'Smmy HRI SbS'!#REF!,'Smmy HRI SbS'!#REF!,'Smmy HRI SbS'!#REF!,'Smmy HRI SbS'!#REF!,'Smmy HRI SbS'!#REF!,'Smmy HRI SbS'!#REF!,'Smmy HRI SbS'!#REF!,'Smmy HRI SbS'!#REF!</definedName>
    <definedName name="Z_14D2702E_F84A_4D2B_A8E0_1BA0EE84A954_.wvu.Cols" localSheetId="18" hidden="1">'Smmy Sum'!#REF!,'Smmy Sum'!#REF!,'Smmy Sum'!#REF!,'Smmy Sum'!#REF!,'Smmy Sum'!#REF!,'Smmy Sum'!#REF!,'Smmy Sum'!#REF!,'Smmy Sum'!#REF!,'Smmy Sum'!#REF!</definedName>
    <definedName name="Z_14D2702E_F84A_4D2B_A8E0_1BA0EE84A954_.wvu.Cols" localSheetId="22" hidden="1">'SWM Sum'!#REF!,'SWM Sum'!#REF!,'SWM Sum'!#REF!,'SWM Sum'!#REF!,'SWM Sum'!#REF!,'SWM Sum'!#REF!,'SWM Sum'!#REF!,'SWM Sum'!#REF!,'SWM Sum'!#REF!</definedName>
    <definedName name="Z_14D2702E_F84A_4D2B_A8E0_1BA0EE84A954_.wvu.Cols" localSheetId="46" hidden="1">'TAMHSC Sum'!#REF!,'TAMHSC Sum'!#REF!,'TAMHSC Sum'!#REF!,'TAMHSC Sum'!#REF!,'TAMHSC Sum'!#REF!,'TAMHSC Sum'!#REF!,'TAMHSC Sum'!#REF!,'TAMHSC Sum'!#REF!,'TAMHSC Sum'!#REF!</definedName>
    <definedName name="Z_14D2702E_F84A_4D2B_A8E0_1BA0EE84A954_.wvu.Cols" localSheetId="42" hidden="1">'THC Sum'!#REF!,'THC Sum'!#REF!,'THC Sum'!#REF!,'THC Sum'!#REF!,'THC Sum'!#REF!,'THC Sum'!#REF!,'THC Sum'!#REF!,'THC Sum'!#REF!,'THC Sum'!#REF!</definedName>
    <definedName name="Z_14D2702E_F84A_4D2B_A8E0_1BA0EE84A954_.wvu.Cols" localSheetId="54" hidden="1">'TTUHSC Sum'!#REF!,'TTUHSC Sum'!#REF!,'TTUHSC Sum'!#REF!,'TTUHSC Sum'!#REF!,'TTUHSC Sum'!#REF!,'TTUHSC Sum'!#REF!,'TTUHSC Sum'!#REF!,'TTUHSC Sum'!#REF!,'TTUHSC Sum'!#REF!</definedName>
    <definedName name="Z_14D2702E_F84A_4D2B_A8E0_1BA0EE84A954_.wvu.Cols" localSheetId="58" hidden="1">'TTUHSCEP Sum'!#REF!,'TTUHSCEP Sum'!#REF!,'TTUHSCEP Sum'!#REF!,'TTUHSCEP Sum'!#REF!,'TTUHSCEP Sum'!#REF!,'TTUHSCEP Sum'!#REF!,'TTUHSCEP Sum'!#REF!,'TTUHSCEP Sum'!#REF!,'TTUHSCEP Sum'!#REF!</definedName>
    <definedName name="Z_14D2702E_F84A_4D2B_A8E0_1BA0EE84A954_.wvu.Cols" localSheetId="50" hidden="1">'UNTHSC Sum'!#REF!,'UNTHSC Sum'!#REF!,'UNTHSC Sum'!#REF!,'UNTHSC Sum'!#REF!,'UNTHSC Sum'!#REF!,'UNTHSC Sum'!#REF!,'UNTHSC Sum'!#REF!,'UNTHSC Sum'!#REF!,'UNTHSC Sum'!#REF!</definedName>
    <definedName name="Z_1FFC368C_FAAC_4C27_917C_33EB7F20D079_.wvu.PrintTitles" localSheetId="8" hidden="1">[7]Midwestern!$A$1:$B$65536,[7]Midwestern!$A$1:$IV$7</definedName>
    <definedName name="Z_1FFC368C_FAAC_4C27_917C_33EB7F20D079_.wvu.PrintTitles" localSheetId="63" hidden="1">[7]Midwestern!$A$1:$B$65536,[7]Midwestern!$A$1:$IV$7</definedName>
    <definedName name="Z_1FFC368C_FAAC_4C27_917C_33EB7F20D079_.wvu.PrintTitles" localSheetId="13" hidden="1">[7]Midwestern!$A$1:$B$65536,[7]Midwestern!$A$1:$IV$7</definedName>
    <definedName name="Z_1FFC368C_FAAC_4C27_917C_33EB7F20D079_.wvu.PrintTitles" localSheetId="3" hidden="1">[7]Midwestern!$A$1:$B$65536,[7]Midwestern!$A$1:$IV$7</definedName>
    <definedName name="Z_1FFC368C_FAAC_4C27_917C_33EB7F20D079_.wvu.PrintTitles" localSheetId="4" hidden="1">[7]Midwestern!$A$1:$B$65536,[7]Midwestern!$A$1:$IV$7</definedName>
    <definedName name="Z_1FFC368C_FAAC_4C27_917C_33EB7F20D079_.wvu.PrintTitles" localSheetId="14" hidden="1">[7]Midwestern!$A$1:$B$65536,[7]Midwestern!$A$1:$IV$7</definedName>
    <definedName name="Z_1FFC368C_FAAC_4C27_917C_33EB7F20D079_.wvu.PrintTitles" localSheetId="11" hidden="1">[7]Midwestern!$A$1:$B$65536,[7]Midwestern!$A$1:$IV$7</definedName>
    <definedName name="Z_1FFC368C_FAAC_4C27_917C_33EB7F20D079_.wvu.PrintTitles" localSheetId="12" hidden="1">[7]Midwestern!$A$1:$B$65536,[7]Midwestern!$A$1:$IV$7</definedName>
    <definedName name="Z_1FFC368C_FAAC_4C27_917C_33EB7F20D079_.wvu.PrintTitles" localSheetId="7" hidden="1">[7]Midwestern!$A$1:$B$65536,[7]Midwestern!$A$1:$IV$7</definedName>
    <definedName name="Z_1FFC368C_FAAC_4C27_917C_33EB7F20D079_.wvu.PrintTitles" localSheetId="6" hidden="1">[7]Midwestern!$A$1:$B$65536,[7]Midwestern!$A$1:$IV$7</definedName>
    <definedName name="Z_1FFC368C_FAAC_4C27_917C_33EB7F20D079_.wvu.PrintTitles" localSheetId="67" hidden="1">[7]Midwestern!$A$1:$B$65536,[7]Midwestern!$A$1:$IV$7</definedName>
    <definedName name="Z_1FFC368C_FAAC_4C27_917C_33EB7F20D079_.wvu.PrintTitles" localSheetId="10" hidden="1">[7]Midwestern!$A$1:$B$65536,[7]Midwestern!$A$1:$IV$7</definedName>
    <definedName name="Z_1FFC368C_FAAC_4C27_917C_33EB7F20D079_.wvu.PrintTitles" localSheetId="9" hidden="1">[7]Midwestern!$A$1:$B$65536,[7]Midwestern!$A$1:$IV$7</definedName>
    <definedName name="Z_1FFC368C_FAAC_4C27_917C_33EB7F20D079_.wvu.PrintTitles" localSheetId="55" hidden="1">[7]Midwestern!$A$1:$B$65536,[7]Midwestern!$A$1:$IV$7</definedName>
    <definedName name="Z_1FFC368C_FAAC_4C27_917C_33EB7F20D079_.wvu.PrintTitles" localSheetId="59" hidden="1">[7]Midwestern!$A$1:$B$65536,[7]Midwestern!$A$1:$IV$7</definedName>
    <definedName name="Z_1FFC368C_FAAC_4C27_917C_33EB7F20D079_.wvu.PrintTitles" hidden="1">[8]Midwestern!$A$1:$B$65536,[8]Midwestern!$A$1:$IV$7</definedName>
    <definedName name="Z_390E69FE_30BF_46A8_BB03_D0C9901EA0FB_.wvu.PrintTitles" localSheetId="8" hidden="1">[7]Midwestern!$A$1:$B$65536,[7]Midwestern!$A$1:$IV$7</definedName>
    <definedName name="Z_390E69FE_30BF_46A8_BB03_D0C9901EA0FB_.wvu.PrintTitles" localSheetId="63" hidden="1">[7]Midwestern!$A$1:$B$65536,[7]Midwestern!$A$1:$IV$7</definedName>
    <definedName name="Z_390E69FE_30BF_46A8_BB03_D0C9901EA0FB_.wvu.PrintTitles" localSheetId="13" hidden="1">[7]Midwestern!$A$1:$B$65536,[7]Midwestern!$A$1:$IV$7</definedName>
    <definedName name="Z_390E69FE_30BF_46A8_BB03_D0C9901EA0FB_.wvu.PrintTitles" localSheetId="3" hidden="1">[7]Midwestern!$A$1:$B$65536,[7]Midwestern!$A$1:$IV$7</definedName>
    <definedName name="Z_390E69FE_30BF_46A8_BB03_D0C9901EA0FB_.wvu.PrintTitles" localSheetId="4" hidden="1">[7]Midwestern!$A$1:$B$65536,[7]Midwestern!$A$1:$IV$7</definedName>
    <definedName name="Z_390E69FE_30BF_46A8_BB03_D0C9901EA0FB_.wvu.PrintTitles" localSheetId="14" hidden="1">[7]Midwestern!$A$1:$B$65536,[7]Midwestern!$A$1:$IV$7</definedName>
    <definedName name="Z_390E69FE_30BF_46A8_BB03_D0C9901EA0FB_.wvu.PrintTitles" localSheetId="11" hidden="1">[7]Midwestern!$A$1:$B$65536,[7]Midwestern!$A$1:$IV$7</definedName>
    <definedName name="Z_390E69FE_30BF_46A8_BB03_D0C9901EA0FB_.wvu.PrintTitles" localSheetId="12" hidden="1">[7]Midwestern!$A$1:$B$65536,[7]Midwestern!$A$1:$IV$7</definedName>
    <definedName name="Z_390E69FE_30BF_46A8_BB03_D0C9901EA0FB_.wvu.PrintTitles" localSheetId="7" hidden="1">[7]Midwestern!$A$1:$B$65536,[7]Midwestern!$A$1:$IV$7</definedName>
    <definedName name="Z_390E69FE_30BF_46A8_BB03_D0C9901EA0FB_.wvu.PrintTitles" localSheetId="6" hidden="1">[7]Midwestern!$A$1:$B$65536,[7]Midwestern!$A$1:$IV$7</definedName>
    <definedName name="Z_390E69FE_30BF_46A8_BB03_D0C9901EA0FB_.wvu.PrintTitles" localSheetId="67" hidden="1">[7]Midwestern!$A$1:$B$65536,[7]Midwestern!$A$1:$IV$7</definedName>
    <definedName name="Z_390E69FE_30BF_46A8_BB03_D0C9901EA0FB_.wvu.PrintTitles" localSheetId="10" hidden="1">[7]Midwestern!$A$1:$B$65536,[7]Midwestern!$A$1:$IV$7</definedName>
    <definedName name="Z_390E69FE_30BF_46A8_BB03_D0C9901EA0FB_.wvu.PrintTitles" localSheetId="9" hidden="1">[7]Midwestern!$A$1:$B$65536,[7]Midwestern!$A$1:$IV$7</definedName>
    <definedName name="Z_390E69FE_30BF_46A8_BB03_D0C9901EA0FB_.wvu.PrintTitles" localSheetId="55" hidden="1">[7]Midwestern!$A$1:$B$65536,[7]Midwestern!$A$1:$IV$7</definedName>
    <definedName name="Z_390E69FE_30BF_46A8_BB03_D0C9901EA0FB_.wvu.PrintTitles" localSheetId="59" hidden="1">[7]Midwestern!$A$1:$B$65536,[7]Midwestern!$A$1:$IV$7</definedName>
    <definedName name="Z_390E69FE_30BF_46A8_BB03_D0C9901EA0FB_.wvu.PrintTitles" hidden="1">[8]Midwestern!$A$1:$B$65536,[8]Midwestern!$A$1:$IV$7</definedName>
    <definedName name="Z_3C971B3B_4F1A_4A5F_87B7_49ECD435050C_.wvu.PrintArea" localSheetId="63" hidden="1">'AUSM FGD'!$B$2:$M$100</definedName>
    <definedName name="Z_3C971B3B_4F1A_4A5F_87B7_49ECD435050C_.wvu.PrintArea" localSheetId="62" hidden="1">'AUSM Sum'!$A$1:$B$70</definedName>
    <definedName name="Z_3C971B3B_4F1A_4A5F_87B7_49ECD435050C_.wvu.PrintArea" localSheetId="31" hidden="1">'HSH FGD'!$B$2:$M$100</definedName>
    <definedName name="Z_3C971B3B_4F1A_4A5F_87B7_49ECD435050C_.wvu.PrintArea" localSheetId="30" hidden="1">'HSH Sum'!$A$1:$B$70</definedName>
    <definedName name="Z_3C971B3B_4F1A_4A5F_87B7_49ECD435050C_.wvu.PrintArea" localSheetId="35" hidden="1">'HSSA FGD'!$B$2:$M$100</definedName>
    <definedName name="Z_3C971B3B_4F1A_4A5F_87B7_49ECD435050C_.wvu.PrintArea" localSheetId="34" hidden="1">'HSSA Sum'!$A$1:$B$70</definedName>
    <definedName name="Z_3C971B3B_4F1A_4A5F_87B7_49ECD435050C_.wvu.PrintArea" localSheetId="27" hidden="1">'MBG FGD'!$B$2:$M$100</definedName>
    <definedName name="Z_3C971B3B_4F1A_4A5F_87B7_49ECD435050C_.wvu.PrintArea" localSheetId="26" hidden="1">'MBG Sum'!$A$1:$B$70</definedName>
    <definedName name="Z_3C971B3B_4F1A_4A5F_87B7_49ECD435050C_.wvu.PrintArea" localSheetId="39" hidden="1">'MDA FGD'!$B$2:$M$100</definedName>
    <definedName name="Z_3C971B3B_4F1A_4A5F_87B7_49ECD435050C_.wvu.PrintArea" localSheetId="38" hidden="1">'MDA Sum'!$A$1:$B$70</definedName>
    <definedName name="Z_3C971B3B_4F1A_4A5F_87B7_49ECD435050C_.wvu.PrintArea" localSheetId="67" hidden="1">'RGVM FGD'!$B$2:$M$100</definedName>
    <definedName name="Z_3C971B3B_4F1A_4A5F_87B7_49ECD435050C_.wvu.PrintArea" localSheetId="66" hidden="1">'RGVM Sum'!$A$1:$B$70</definedName>
    <definedName name="Z_3C971B3B_4F1A_4A5F_87B7_49ECD435050C_.wvu.PrintArea" localSheetId="19" hidden="1">'Smmy FGD'!$B$2:$M$940</definedName>
    <definedName name="Z_3C971B3B_4F1A_4A5F_87B7_49ECD435050C_.wvu.PrintArea" localSheetId="18" hidden="1">'Smmy Sum'!$A$1:$B$82</definedName>
    <definedName name="Z_3C971B3B_4F1A_4A5F_87B7_49ECD435050C_.wvu.PrintArea" localSheetId="23" hidden="1">'SWM FGD'!$B$2:$M$100</definedName>
    <definedName name="Z_3C971B3B_4F1A_4A5F_87B7_49ECD435050C_.wvu.PrintArea" localSheetId="22" hidden="1">'SWM Sum'!$A$1:$B$70</definedName>
    <definedName name="Z_3C971B3B_4F1A_4A5F_87B7_49ECD435050C_.wvu.PrintArea" localSheetId="47" hidden="1">'TAMHSC FGD'!$B$2:$M$100</definedName>
    <definedName name="Z_3C971B3B_4F1A_4A5F_87B7_49ECD435050C_.wvu.PrintArea" localSheetId="46" hidden="1">'TAMHSC Sum'!$A$1:$B$70</definedName>
    <definedName name="Z_3C971B3B_4F1A_4A5F_87B7_49ECD435050C_.wvu.PrintArea" localSheetId="43" hidden="1">'THC FGD'!$B$2:$M$100</definedName>
    <definedName name="Z_3C971B3B_4F1A_4A5F_87B7_49ECD435050C_.wvu.PrintArea" localSheetId="42" hidden="1">'THC Sum'!$A$1:$B$70</definedName>
    <definedName name="Z_3C971B3B_4F1A_4A5F_87B7_49ECD435050C_.wvu.PrintArea" localSheetId="55" hidden="1">'TTUHSC FGD'!$B$2:$M$100</definedName>
    <definedName name="Z_3C971B3B_4F1A_4A5F_87B7_49ECD435050C_.wvu.PrintArea" localSheetId="54" hidden="1">'TTUHSC Sum'!$A$1:$B$70</definedName>
    <definedName name="Z_3C971B3B_4F1A_4A5F_87B7_49ECD435050C_.wvu.PrintArea" localSheetId="59" hidden="1">'TTUHSCEP FGD'!$B$2:$M$100</definedName>
    <definedName name="Z_3C971B3B_4F1A_4A5F_87B7_49ECD435050C_.wvu.PrintArea" localSheetId="58" hidden="1">'TTUHSCEP Sum'!$A$1:$B$70</definedName>
    <definedName name="Z_3C971B3B_4F1A_4A5F_87B7_49ECD435050C_.wvu.PrintArea" localSheetId="51" hidden="1">'UNTHSC FGD'!$B$2:$M$100</definedName>
    <definedName name="Z_3C971B3B_4F1A_4A5F_87B7_49ECD435050C_.wvu.PrintArea" localSheetId="50" hidden="1">'UNTHSC Sum'!$A$1:$B$70</definedName>
    <definedName name="Z_4AC09102_7151_4BC1_97EC_C57915589D6D_.wvu.PrintTitles" localSheetId="8" hidden="1">[7]Midwestern!$A$1:$B$65536,[7]Midwestern!$A$1:$IV$7</definedName>
    <definedName name="Z_4AC09102_7151_4BC1_97EC_C57915589D6D_.wvu.PrintTitles" localSheetId="63" hidden="1">[7]Midwestern!$A$1:$B$65536,[7]Midwestern!$A$1:$IV$7</definedName>
    <definedName name="Z_4AC09102_7151_4BC1_97EC_C57915589D6D_.wvu.PrintTitles" localSheetId="13" hidden="1">[7]Midwestern!$A$1:$B$65536,[7]Midwestern!$A$1:$IV$7</definedName>
    <definedName name="Z_4AC09102_7151_4BC1_97EC_C57915589D6D_.wvu.PrintTitles" localSheetId="3" hidden="1">[7]Midwestern!$A$1:$B$65536,[7]Midwestern!$A$1:$IV$7</definedName>
    <definedName name="Z_4AC09102_7151_4BC1_97EC_C57915589D6D_.wvu.PrintTitles" localSheetId="4" hidden="1">[7]Midwestern!$A$1:$B$65536,[7]Midwestern!$A$1:$IV$7</definedName>
    <definedName name="Z_4AC09102_7151_4BC1_97EC_C57915589D6D_.wvu.PrintTitles" localSheetId="14" hidden="1">[7]Midwestern!$A$1:$B$65536,[7]Midwestern!$A$1:$IV$7</definedName>
    <definedName name="Z_4AC09102_7151_4BC1_97EC_C57915589D6D_.wvu.PrintTitles" localSheetId="11" hidden="1">[7]Midwestern!$A$1:$B$65536,[7]Midwestern!$A$1:$IV$7</definedName>
    <definedName name="Z_4AC09102_7151_4BC1_97EC_C57915589D6D_.wvu.PrintTitles" localSheetId="12" hidden="1">[7]Midwestern!$A$1:$B$65536,[7]Midwestern!$A$1:$IV$7</definedName>
    <definedName name="Z_4AC09102_7151_4BC1_97EC_C57915589D6D_.wvu.PrintTitles" localSheetId="7" hidden="1">[7]Midwestern!$A$1:$B$65536,[7]Midwestern!$A$1:$IV$7</definedName>
    <definedName name="Z_4AC09102_7151_4BC1_97EC_C57915589D6D_.wvu.PrintTitles" localSheetId="6" hidden="1">[7]Midwestern!$A$1:$B$65536,[7]Midwestern!$A$1:$IV$7</definedName>
    <definedName name="Z_4AC09102_7151_4BC1_97EC_C57915589D6D_.wvu.PrintTitles" localSheetId="67" hidden="1">[7]Midwestern!$A$1:$B$65536,[7]Midwestern!$A$1:$IV$7</definedName>
    <definedName name="Z_4AC09102_7151_4BC1_97EC_C57915589D6D_.wvu.PrintTitles" localSheetId="10" hidden="1">[7]Midwestern!$A$1:$B$65536,[7]Midwestern!$A$1:$IV$7</definedName>
    <definedName name="Z_4AC09102_7151_4BC1_97EC_C57915589D6D_.wvu.PrintTitles" localSheetId="9" hidden="1">[7]Midwestern!$A$1:$B$65536,[7]Midwestern!$A$1:$IV$7</definedName>
    <definedName name="Z_4AC09102_7151_4BC1_97EC_C57915589D6D_.wvu.PrintTitles" localSheetId="55" hidden="1">[7]Midwestern!$A$1:$B$65536,[7]Midwestern!$A$1:$IV$7</definedName>
    <definedName name="Z_4AC09102_7151_4BC1_97EC_C57915589D6D_.wvu.PrintTitles" localSheetId="59" hidden="1">[7]Midwestern!$A$1:$B$65536,[7]Midwestern!$A$1:$IV$7</definedName>
    <definedName name="Z_4AC09102_7151_4BC1_97EC_C57915589D6D_.wvu.PrintTitles" hidden="1">[8]Midwestern!$A$1:$B$65536,[8]Midwestern!$A$1:$IV$7</definedName>
    <definedName name="Z_59C042EE_7BE0_46D7_83D3_48C0860AA9B7_.wvu.PrintTitles" localSheetId="8" hidden="1">[7]Midwestern!$A$1:$B$65536,[7]Midwestern!$A$1:$IV$7</definedName>
    <definedName name="Z_59C042EE_7BE0_46D7_83D3_48C0860AA9B7_.wvu.PrintTitles" localSheetId="63" hidden="1">[7]Midwestern!$A$1:$B$65536,[7]Midwestern!$A$1:$IV$7</definedName>
    <definedName name="Z_59C042EE_7BE0_46D7_83D3_48C0860AA9B7_.wvu.PrintTitles" localSheetId="13" hidden="1">[7]Midwestern!$A$1:$B$65536,[7]Midwestern!$A$1:$IV$7</definedName>
    <definedName name="Z_59C042EE_7BE0_46D7_83D3_48C0860AA9B7_.wvu.PrintTitles" localSheetId="3" hidden="1">[7]Midwestern!$A$1:$B$65536,[7]Midwestern!$A$1:$IV$7</definedName>
    <definedName name="Z_59C042EE_7BE0_46D7_83D3_48C0860AA9B7_.wvu.PrintTitles" localSheetId="4" hidden="1">[7]Midwestern!$A$1:$B$65536,[7]Midwestern!$A$1:$IV$7</definedName>
    <definedName name="Z_59C042EE_7BE0_46D7_83D3_48C0860AA9B7_.wvu.PrintTitles" localSheetId="14" hidden="1">[7]Midwestern!$A$1:$B$65536,[7]Midwestern!$A$1:$IV$7</definedName>
    <definedName name="Z_59C042EE_7BE0_46D7_83D3_48C0860AA9B7_.wvu.PrintTitles" localSheetId="11" hidden="1">[7]Midwestern!$A$1:$B$65536,[7]Midwestern!$A$1:$IV$7</definedName>
    <definedName name="Z_59C042EE_7BE0_46D7_83D3_48C0860AA9B7_.wvu.PrintTitles" localSheetId="12" hidden="1">[7]Midwestern!$A$1:$B$65536,[7]Midwestern!$A$1:$IV$7</definedName>
    <definedName name="Z_59C042EE_7BE0_46D7_83D3_48C0860AA9B7_.wvu.PrintTitles" localSheetId="7" hidden="1">[7]Midwestern!$A$1:$B$65536,[7]Midwestern!$A$1:$IV$7</definedName>
    <definedName name="Z_59C042EE_7BE0_46D7_83D3_48C0860AA9B7_.wvu.PrintTitles" localSheetId="6" hidden="1">[7]Midwestern!$A$1:$B$65536,[7]Midwestern!$A$1:$IV$7</definedName>
    <definedName name="Z_59C042EE_7BE0_46D7_83D3_48C0860AA9B7_.wvu.PrintTitles" localSheetId="67" hidden="1">[7]Midwestern!$A$1:$B$65536,[7]Midwestern!$A$1:$IV$7</definedName>
    <definedName name="Z_59C042EE_7BE0_46D7_83D3_48C0860AA9B7_.wvu.PrintTitles" localSheetId="10" hidden="1">[7]Midwestern!$A$1:$B$65536,[7]Midwestern!$A$1:$IV$7</definedName>
    <definedName name="Z_59C042EE_7BE0_46D7_83D3_48C0860AA9B7_.wvu.PrintTitles" localSheetId="9" hidden="1">[7]Midwestern!$A$1:$B$65536,[7]Midwestern!$A$1:$IV$7</definedName>
    <definedName name="Z_59C042EE_7BE0_46D7_83D3_48C0860AA9B7_.wvu.PrintTitles" localSheetId="55" hidden="1">[7]Midwestern!$A$1:$B$65536,[7]Midwestern!$A$1:$IV$7</definedName>
    <definedName name="Z_59C042EE_7BE0_46D7_83D3_48C0860AA9B7_.wvu.PrintTitles" localSheetId="59" hidden="1">[7]Midwestern!$A$1:$B$65536,[7]Midwestern!$A$1:$IV$7</definedName>
    <definedName name="Z_59C042EE_7BE0_46D7_83D3_48C0860AA9B7_.wvu.PrintTitles" hidden="1">[8]Midwestern!$A$1:$B$65536,[8]Midwestern!$A$1:$IV$7</definedName>
    <definedName name="Z_5DB122DC_76B1_4E56_B2C5_DC5B34D3FE31_.wvu.PrintTitles" localSheetId="8" hidden="1">[7]Midwestern!$A$1:$B$65536,[7]Midwestern!$A$1:$IV$7</definedName>
    <definedName name="Z_5DB122DC_76B1_4E56_B2C5_DC5B34D3FE31_.wvu.PrintTitles" localSheetId="63" hidden="1">[7]Midwestern!$A$1:$B$65536,[7]Midwestern!$A$1:$IV$7</definedName>
    <definedName name="Z_5DB122DC_76B1_4E56_B2C5_DC5B34D3FE31_.wvu.PrintTitles" localSheetId="13" hidden="1">[7]Midwestern!$A$1:$B$65536,[7]Midwestern!$A$1:$IV$7</definedName>
    <definedName name="Z_5DB122DC_76B1_4E56_B2C5_DC5B34D3FE31_.wvu.PrintTitles" localSheetId="3" hidden="1">[7]Midwestern!$A$1:$B$65536,[7]Midwestern!$A$1:$IV$7</definedName>
    <definedName name="Z_5DB122DC_76B1_4E56_B2C5_DC5B34D3FE31_.wvu.PrintTitles" localSheetId="4" hidden="1">[7]Midwestern!$A$1:$B$65536,[7]Midwestern!$A$1:$IV$7</definedName>
    <definedName name="Z_5DB122DC_76B1_4E56_B2C5_DC5B34D3FE31_.wvu.PrintTitles" localSheetId="14" hidden="1">[7]Midwestern!$A$1:$B$65536,[7]Midwestern!$A$1:$IV$7</definedName>
    <definedName name="Z_5DB122DC_76B1_4E56_B2C5_DC5B34D3FE31_.wvu.PrintTitles" localSheetId="11" hidden="1">[7]Midwestern!$A$1:$B$65536,[7]Midwestern!$A$1:$IV$7</definedName>
    <definedName name="Z_5DB122DC_76B1_4E56_B2C5_DC5B34D3FE31_.wvu.PrintTitles" localSheetId="12" hidden="1">[7]Midwestern!$A$1:$B$65536,[7]Midwestern!$A$1:$IV$7</definedName>
    <definedName name="Z_5DB122DC_76B1_4E56_B2C5_DC5B34D3FE31_.wvu.PrintTitles" localSheetId="7" hidden="1">[7]Midwestern!$A$1:$B$65536,[7]Midwestern!$A$1:$IV$7</definedName>
    <definedName name="Z_5DB122DC_76B1_4E56_B2C5_DC5B34D3FE31_.wvu.PrintTitles" localSheetId="6" hidden="1">[7]Midwestern!$A$1:$B$65536,[7]Midwestern!$A$1:$IV$7</definedName>
    <definedName name="Z_5DB122DC_76B1_4E56_B2C5_DC5B34D3FE31_.wvu.PrintTitles" localSheetId="67" hidden="1">[7]Midwestern!$A$1:$B$65536,[7]Midwestern!$A$1:$IV$7</definedName>
    <definedName name="Z_5DB122DC_76B1_4E56_B2C5_DC5B34D3FE31_.wvu.PrintTitles" localSheetId="10" hidden="1">[7]Midwestern!$A$1:$B$65536,[7]Midwestern!$A$1:$IV$7</definedName>
    <definedName name="Z_5DB122DC_76B1_4E56_B2C5_DC5B34D3FE31_.wvu.PrintTitles" localSheetId="9" hidden="1">[7]Midwestern!$A$1:$B$65536,[7]Midwestern!$A$1:$IV$7</definedName>
    <definedName name="Z_5DB122DC_76B1_4E56_B2C5_DC5B34D3FE31_.wvu.PrintTitles" localSheetId="55" hidden="1">[7]Midwestern!$A$1:$B$65536,[7]Midwestern!$A$1:$IV$7</definedName>
    <definedName name="Z_5DB122DC_76B1_4E56_B2C5_DC5B34D3FE31_.wvu.PrintTitles" localSheetId="59" hidden="1">[7]Midwestern!$A$1:$B$65536,[7]Midwestern!$A$1:$IV$7</definedName>
    <definedName name="Z_5DB122DC_76B1_4E56_B2C5_DC5B34D3FE31_.wvu.PrintTitles" hidden="1">[8]Midwestern!$A$1:$B$65536,[8]Midwestern!$A$1:$IV$7</definedName>
    <definedName name="Z_7E968537_F35A_46C0_AAAE_B8F2523DE409_.wvu.PrintTitles" localSheetId="8" hidden="1">[7]Midwestern!$A$1:$B$65536,[7]Midwestern!$A$1:$IV$7</definedName>
    <definedName name="Z_7E968537_F35A_46C0_AAAE_B8F2523DE409_.wvu.PrintTitles" localSheetId="63" hidden="1">[7]Midwestern!$A$1:$B$65536,[7]Midwestern!$A$1:$IV$7</definedName>
    <definedName name="Z_7E968537_F35A_46C0_AAAE_B8F2523DE409_.wvu.PrintTitles" localSheetId="13" hidden="1">[7]Midwestern!$A$1:$B$65536,[7]Midwestern!$A$1:$IV$7</definedName>
    <definedName name="Z_7E968537_F35A_46C0_AAAE_B8F2523DE409_.wvu.PrintTitles" localSheetId="3" hidden="1">[7]Midwestern!$A$1:$B$65536,[7]Midwestern!$A$1:$IV$7</definedName>
    <definedName name="Z_7E968537_F35A_46C0_AAAE_B8F2523DE409_.wvu.PrintTitles" localSheetId="4" hidden="1">[7]Midwestern!$A$1:$B$65536,[7]Midwestern!$A$1:$IV$7</definedName>
    <definedName name="Z_7E968537_F35A_46C0_AAAE_B8F2523DE409_.wvu.PrintTitles" localSheetId="14" hidden="1">[7]Midwestern!$A$1:$B$65536,[7]Midwestern!$A$1:$IV$7</definedName>
    <definedName name="Z_7E968537_F35A_46C0_AAAE_B8F2523DE409_.wvu.PrintTitles" localSheetId="11" hidden="1">[7]Midwestern!$A$1:$B$65536,[7]Midwestern!$A$1:$IV$7</definedName>
    <definedName name="Z_7E968537_F35A_46C0_AAAE_B8F2523DE409_.wvu.PrintTitles" localSheetId="12" hidden="1">[7]Midwestern!$A$1:$B$65536,[7]Midwestern!$A$1:$IV$7</definedName>
    <definedName name="Z_7E968537_F35A_46C0_AAAE_B8F2523DE409_.wvu.PrintTitles" localSheetId="7" hidden="1">[7]Midwestern!$A$1:$B$65536,[7]Midwestern!$A$1:$IV$7</definedName>
    <definedName name="Z_7E968537_F35A_46C0_AAAE_B8F2523DE409_.wvu.PrintTitles" localSheetId="6" hidden="1">[7]Midwestern!$A$1:$B$65536,[7]Midwestern!$A$1:$IV$7</definedName>
    <definedName name="Z_7E968537_F35A_46C0_AAAE_B8F2523DE409_.wvu.PrintTitles" localSheetId="67" hidden="1">[7]Midwestern!$A$1:$B$65536,[7]Midwestern!$A$1:$IV$7</definedName>
    <definedName name="Z_7E968537_F35A_46C0_AAAE_B8F2523DE409_.wvu.PrintTitles" localSheetId="10" hidden="1">[7]Midwestern!$A$1:$B$65536,[7]Midwestern!$A$1:$IV$7</definedName>
    <definedName name="Z_7E968537_F35A_46C0_AAAE_B8F2523DE409_.wvu.PrintTitles" localSheetId="9" hidden="1">[7]Midwestern!$A$1:$B$65536,[7]Midwestern!$A$1:$IV$7</definedName>
    <definedName name="Z_7E968537_F35A_46C0_AAAE_B8F2523DE409_.wvu.PrintTitles" localSheetId="55" hidden="1">[7]Midwestern!$A$1:$B$65536,[7]Midwestern!$A$1:$IV$7</definedName>
    <definedName name="Z_7E968537_F35A_46C0_AAAE_B8F2523DE409_.wvu.PrintTitles" localSheetId="59" hidden="1">[7]Midwestern!$A$1:$B$65536,[7]Midwestern!$A$1:$IV$7</definedName>
    <definedName name="Z_7E968537_F35A_46C0_AAAE_B8F2523DE409_.wvu.PrintTitles" hidden="1">[8]Midwestern!$A$1:$B$65536,[8]Midwestern!$A$1:$IV$7</definedName>
    <definedName name="Z_999D944D_85B2_4CAE_97DA_DC2EB4BF0AB0_.wvu.PrintTitles" localSheetId="8" hidden="1">[7]Midwestern!$A$1:$B$65536,[7]Midwestern!$A$1:$IV$7</definedName>
    <definedName name="Z_999D944D_85B2_4CAE_97DA_DC2EB4BF0AB0_.wvu.PrintTitles" localSheetId="63" hidden="1">[7]Midwestern!$A$1:$B$65536,[7]Midwestern!$A$1:$IV$7</definedName>
    <definedName name="Z_999D944D_85B2_4CAE_97DA_DC2EB4BF0AB0_.wvu.PrintTitles" localSheetId="13" hidden="1">[7]Midwestern!$A$1:$B$65536,[7]Midwestern!$A$1:$IV$7</definedName>
    <definedName name="Z_999D944D_85B2_4CAE_97DA_DC2EB4BF0AB0_.wvu.PrintTitles" localSheetId="3" hidden="1">[7]Midwestern!$A$1:$B$65536,[7]Midwestern!$A$1:$IV$7</definedName>
    <definedName name="Z_999D944D_85B2_4CAE_97DA_DC2EB4BF0AB0_.wvu.PrintTitles" localSheetId="4" hidden="1">[7]Midwestern!$A$1:$B$65536,[7]Midwestern!$A$1:$IV$7</definedName>
    <definedName name="Z_999D944D_85B2_4CAE_97DA_DC2EB4BF0AB0_.wvu.PrintTitles" localSheetId="14" hidden="1">[7]Midwestern!$A$1:$B$65536,[7]Midwestern!$A$1:$IV$7</definedName>
    <definedName name="Z_999D944D_85B2_4CAE_97DA_DC2EB4BF0AB0_.wvu.PrintTitles" localSheetId="11" hidden="1">[7]Midwestern!$A$1:$B$65536,[7]Midwestern!$A$1:$IV$7</definedName>
    <definedName name="Z_999D944D_85B2_4CAE_97DA_DC2EB4BF0AB0_.wvu.PrintTitles" localSheetId="12" hidden="1">[7]Midwestern!$A$1:$B$65536,[7]Midwestern!$A$1:$IV$7</definedName>
    <definedName name="Z_999D944D_85B2_4CAE_97DA_DC2EB4BF0AB0_.wvu.PrintTitles" localSheetId="7" hidden="1">[7]Midwestern!$A$1:$B$65536,[7]Midwestern!$A$1:$IV$7</definedName>
    <definedName name="Z_999D944D_85B2_4CAE_97DA_DC2EB4BF0AB0_.wvu.PrintTitles" localSheetId="6" hidden="1">[7]Midwestern!$A$1:$B$65536,[7]Midwestern!$A$1:$IV$7</definedName>
    <definedName name="Z_999D944D_85B2_4CAE_97DA_DC2EB4BF0AB0_.wvu.PrintTitles" localSheetId="67" hidden="1">[7]Midwestern!$A$1:$B$65536,[7]Midwestern!$A$1:$IV$7</definedName>
    <definedName name="Z_999D944D_85B2_4CAE_97DA_DC2EB4BF0AB0_.wvu.PrintTitles" localSheetId="10" hidden="1">[7]Midwestern!$A$1:$B$65536,[7]Midwestern!$A$1:$IV$7</definedName>
    <definedName name="Z_999D944D_85B2_4CAE_97DA_DC2EB4BF0AB0_.wvu.PrintTitles" localSheetId="9" hidden="1">[7]Midwestern!$A$1:$B$65536,[7]Midwestern!$A$1:$IV$7</definedName>
    <definedName name="Z_999D944D_85B2_4CAE_97DA_DC2EB4BF0AB0_.wvu.PrintTitles" localSheetId="55" hidden="1">[7]Midwestern!$A$1:$B$65536,[7]Midwestern!$A$1:$IV$7</definedName>
    <definedName name="Z_999D944D_85B2_4CAE_97DA_DC2EB4BF0AB0_.wvu.PrintTitles" localSheetId="59" hidden="1">[7]Midwestern!$A$1:$B$65536,[7]Midwestern!$A$1:$IV$7</definedName>
    <definedName name="Z_999D944D_85B2_4CAE_97DA_DC2EB4BF0AB0_.wvu.PrintTitles" hidden="1">[8]Midwestern!$A$1:$B$65536,[8]Midwestern!$A$1:$IV$7</definedName>
    <definedName name="Z_9A9AF875_8B7A_4EA5_9837_BF2AFF98C487_.wvu.PrintTitles" localSheetId="8" hidden="1">[7]Midwestern!$A$1:$B$65536,[7]Midwestern!$A$1:$IV$7</definedName>
    <definedName name="Z_9A9AF875_8B7A_4EA5_9837_BF2AFF98C487_.wvu.PrintTitles" localSheetId="63" hidden="1">[7]Midwestern!$A$1:$B$65536,[7]Midwestern!$A$1:$IV$7</definedName>
    <definedName name="Z_9A9AF875_8B7A_4EA5_9837_BF2AFF98C487_.wvu.PrintTitles" localSheetId="13" hidden="1">[7]Midwestern!$A$1:$B$65536,[7]Midwestern!$A$1:$IV$7</definedName>
    <definedName name="Z_9A9AF875_8B7A_4EA5_9837_BF2AFF98C487_.wvu.PrintTitles" localSheetId="3" hidden="1">[7]Midwestern!$A$1:$B$65536,[7]Midwestern!$A$1:$IV$7</definedName>
    <definedName name="Z_9A9AF875_8B7A_4EA5_9837_BF2AFF98C487_.wvu.PrintTitles" localSheetId="4" hidden="1">[7]Midwestern!$A$1:$B$65536,[7]Midwestern!$A$1:$IV$7</definedName>
    <definedName name="Z_9A9AF875_8B7A_4EA5_9837_BF2AFF98C487_.wvu.PrintTitles" localSheetId="14" hidden="1">[7]Midwestern!$A$1:$B$65536,[7]Midwestern!$A$1:$IV$7</definedName>
    <definedName name="Z_9A9AF875_8B7A_4EA5_9837_BF2AFF98C487_.wvu.PrintTitles" localSheetId="11" hidden="1">[7]Midwestern!$A$1:$B$65536,[7]Midwestern!$A$1:$IV$7</definedName>
    <definedName name="Z_9A9AF875_8B7A_4EA5_9837_BF2AFF98C487_.wvu.PrintTitles" localSheetId="12" hidden="1">[7]Midwestern!$A$1:$B$65536,[7]Midwestern!$A$1:$IV$7</definedName>
    <definedName name="Z_9A9AF875_8B7A_4EA5_9837_BF2AFF98C487_.wvu.PrintTitles" localSheetId="7" hidden="1">[7]Midwestern!$A$1:$B$65536,[7]Midwestern!$A$1:$IV$7</definedName>
    <definedName name="Z_9A9AF875_8B7A_4EA5_9837_BF2AFF98C487_.wvu.PrintTitles" localSheetId="6" hidden="1">[7]Midwestern!$A$1:$B$65536,[7]Midwestern!$A$1:$IV$7</definedName>
    <definedName name="Z_9A9AF875_8B7A_4EA5_9837_BF2AFF98C487_.wvu.PrintTitles" localSheetId="67" hidden="1">[7]Midwestern!$A$1:$B$65536,[7]Midwestern!$A$1:$IV$7</definedName>
    <definedName name="Z_9A9AF875_8B7A_4EA5_9837_BF2AFF98C487_.wvu.PrintTitles" localSheetId="10" hidden="1">[7]Midwestern!$A$1:$B$65536,[7]Midwestern!$A$1:$IV$7</definedName>
    <definedName name="Z_9A9AF875_8B7A_4EA5_9837_BF2AFF98C487_.wvu.PrintTitles" localSheetId="9" hidden="1">[7]Midwestern!$A$1:$B$65536,[7]Midwestern!$A$1:$IV$7</definedName>
    <definedName name="Z_9A9AF875_8B7A_4EA5_9837_BF2AFF98C487_.wvu.PrintTitles" localSheetId="55" hidden="1">[7]Midwestern!$A$1:$B$65536,[7]Midwestern!$A$1:$IV$7</definedName>
    <definedName name="Z_9A9AF875_8B7A_4EA5_9837_BF2AFF98C487_.wvu.PrintTitles" localSheetId="59" hidden="1">[7]Midwestern!$A$1:$B$65536,[7]Midwestern!$A$1:$IV$7</definedName>
    <definedName name="Z_9A9AF875_8B7A_4EA5_9837_BF2AFF98C487_.wvu.PrintTitles" hidden="1">[8]Midwestern!$A$1:$B$65536,[8]Midwestern!$A$1:$IV$7</definedName>
    <definedName name="Z_A81C0C90_8FC5_4D90_88FE_F0BCC0ABCCB0_.wvu.PrintArea" localSheetId="62" hidden="1">'AUSM Sum'!$A$1:$B$70</definedName>
    <definedName name="Z_A81C0C90_8FC5_4D90_88FE_F0BCC0ABCCB0_.wvu.PrintArea" localSheetId="30" hidden="1">'HSH Sum'!$A$1:$B$70</definedName>
    <definedName name="Z_A81C0C90_8FC5_4D90_88FE_F0BCC0ABCCB0_.wvu.PrintArea" localSheetId="34" hidden="1">'HSSA Sum'!$A$1:$B$70</definedName>
    <definedName name="Z_A81C0C90_8FC5_4D90_88FE_F0BCC0ABCCB0_.wvu.PrintArea" localSheetId="26" hidden="1">'MBG Sum'!$A$1:$B$70</definedName>
    <definedName name="Z_A81C0C90_8FC5_4D90_88FE_F0BCC0ABCCB0_.wvu.PrintArea" localSheetId="38" hidden="1">'MDA Sum'!$A$1:$B$70</definedName>
    <definedName name="Z_A81C0C90_8FC5_4D90_88FE_F0BCC0ABCCB0_.wvu.PrintArea" localSheetId="66" hidden="1">'RGVM Sum'!$A$1:$B$70</definedName>
    <definedName name="Z_A81C0C90_8FC5_4D90_88FE_F0BCC0ABCCB0_.wvu.PrintArea" localSheetId="18" hidden="1">'Smmy Sum'!$A$1:$B$82</definedName>
    <definedName name="Z_A81C0C90_8FC5_4D90_88FE_F0BCC0ABCCB0_.wvu.PrintArea" localSheetId="22" hidden="1">'SWM Sum'!$A$1:$B$70</definedName>
    <definedName name="Z_A81C0C90_8FC5_4D90_88FE_F0BCC0ABCCB0_.wvu.PrintArea" localSheetId="46" hidden="1">'TAMHSC Sum'!$A$1:$B$70</definedName>
    <definedName name="Z_A81C0C90_8FC5_4D90_88FE_F0BCC0ABCCB0_.wvu.PrintArea" localSheetId="42" hidden="1">'THC Sum'!$A$1:$B$70</definedName>
    <definedName name="Z_A81C0C90_8FC5_4D90_88FE_F0BCC0ABCCB0_.wvu.PrintArea" localSheetId="54" hidden="1">'TTUHSC Sum'!$A$1:$B$70</definedName>
    <definedName name="Z_A81C0C90_8FC5_4D90_88FE_F0BCC0ABCCB0_.wvu.PrintArea" localSheetId="58" hidden="1">'TTUHSCEP Sum'!$A$1:$B$70</definedName>
    <definedName name="Z_A81C0C90_8FC5_4D90_88FE_F0BCC0ABCCB0_.wvu.PrintArea" localSheetId="50" hidden="1">'UNTHSC Sum'!$A$1:$B$70</definedName>
    <definedName name="Z_AEEC638C_8A91_43C3_A958_A71F7CE9122F_.wvu.Cols" localSheetId="62" hidden="1">'AUSM Sum'!#REF!,'AUSM Sum'!#REF!,'AUSM Sum'!#REF!,'AUSM Sum'!#REF!,'AUSM Sum'!#REF!,'AUSM Sum'!#REF!,'AUSM Sum'!#REF!,'AUSM Sum'!#REF!,'AUSM Sum'!#REF!</definedName>
    <definedName name="Z_AEEC638C_8A91_43C3_A958_A71F7CE9122F_.wvu.Cols" localSheetId="30" hidden="1">'HSH Sum'!#REF!,'HSH Sum'!#REF!,'HSH Sum'!#REF!,'HSH Sum'!#REF!,'HSH Sum'!#REF!,'HSH Sum'!#REF!,'HSH Sum'!#REF!,'HSH Sum'!#REF!,'HSH Sum'!#REF!</definedName>
    <definedName name="Z_AEEC638C_8A91_43C3_A958_A71F7CE9122F_.wvu.Cols" localSheetId="34" hidden="1">'HSSA Sum'!#REF!,'HSSA Sum'!#REF!,'HSSA Sum'!#REF!,'HSSA Sum'!#REF!,'HSSA Sum'!#REF!,'HSSA Sum'!#REF!,'HSSA Sum'!#REF!,'HSSA Sum'!#REF!,'HSSA Sum'!#REF!</definedName>
    <definedName name="Z_AEEC638C_8A91_43C3_A958_A71F7CE9122F_.wvu.Cols" localSheetId="26" hidden="1">'MBG Sum'!#REF!,'MBG Sum'!#REF!,'MBG Sum'!#REF!,'MBG Sum'!#REF!,'MBG Sum'!#REF!,'MBG Sum'!#REF!,'MBG Sum'!#REF!,'MBG Sum'!#REF!,'MBG Sum'!#REF!</definedName>
    <definedName name="Z_AEEC638C_8A91_43C3_A958_A71F7CE9122F_.wvu.Cols" localSheetId="38" hidden="1">'MDA Sum'!#REF!,'MDA Sum'!#REF!,'MDA Sum'!#REF!,'MDA Sum'!#REF!,'MDA Sum'!#REF!,'MDA Sum'!#REF!,'MDA Sum'!#REF!,'MDA Sum'!#REF!,'MDA Sum'!#REF!</definedName>
    <definedName name="Z_AEEC638C_8A91_43C3_A958_A71F7CE9122F_.wvu.Cols" localSheetId="66" hidden="1">'RGVM Sum'!#REF!,'RGVM Sum'!#REF!,'RGVM Sum'!#REF!,'RGVM Sum'!#REF!,'RGVM Sum'!#REF!,'RGVM Sum'!#REF!,'RGVM Sum'!#REF!,'RGVM Sum'!#REF!,'RGVM Sum'!#REF!</definedName>
    <definedName name="Z_AEEC638C_8A91_43C3_A958_A71F7CE9122F_.wvu.Cols" localSheetId="16" hidden="1">'Smmy HRI SbS'!#REF!,'Smmy HRI SbS'!#REF!,'Smmy HRI SbS'!#REF!,'Smmy HRI SbS'!#REF!,'Smmy HRI SbS'!#REF!,'Smmy HRI SbS'!#REF!,'Smmy HRI SbS'!#REF!,'Smmy HRI SbS'!#REF!,'Smmy HRI SbS'!#REF!</definedName>
    <definedName name="Z_AEEC638C_8A91_43C3_A958_A71F7CE9122F_.wvu.Cols" localSheetId="18" hidden="1">'Smmy Sum'!#REF!,'Smmy Sum'!#REF!,'Smmy Sum'!#REF!,'Smmy Sum'!#REF!,'Smmy Sum'!#REF!,'Smmy Sum'!#REF!,'Smmy Sum'!#REF!,'Smmy Sum'!#REF!,'Smmy Sum'!#REF!</definedName>
    <definedName name="Z_AEEC638C_8A91_43C3_A958_A71F7CE9122F_.wvu.Cols" localSheetId="22" hidden="1">'SWM Sum'!#REF!,'SWM Sum'!#REF!,'SWM Sum'!#REF!,'SWM Sum'!#REF!,'SWM Sum'!#REF!,'SWM Sum'!#REF!,'SWM Sum'!#REF!,'SWM Sum'!#REF!,'SWM Sum'!#REF!</definedName>
    <definedName name="Z_AEEC638C_8A91_43C3_A958_A71F7CE9122F_.wvu.Cols" localSheetId="46" hidden="1">'TAMHSC Sum'!#REF!,'TAMHSC Sum'!#REF!,'TAMHSC Sum'!#REF!,'TAMHSC Sum'!#REF!,'TAMHSC Sum'!#REF!,'TAMHSC Sum'!#REF!,'TAMHSC Sum'!#REF!,'TAMHSC Sum'!#REF!,'TAMHSC Sum'!#REF!</definedName>
    <definedName name="Z_AEEC638C_8A91_43C3_A958_A71F7CE9122F_.wvu.Cols" localSheetId="42" hidden="1">'THC Sum'!#REF!,'THC Sum'!#REF!,'THC Sum'!#REF!,'THC Sum'!#REF!,'THC Sum'!#REF!,'THC Sum'!#REF!,'THC Sum'!#REF!,'THC Sum'!#REF!,'THC Sum'!#REF!</definedName>
    <definedName name="Z_AEEC638C_8A91_43C3_A958_A71F7CE9122F_.wvu.Cols" localSheetId="54" hidden="1">'TTUHSC Sum'!#REF!,'TTUHSC Sum'!#REF!,'TTUHSC Sum'!#REF!,'TTUHSC Sum'!#REF!,'TTUHSC Sum'!#REF!,'TTUHSC Sum'!#REF!,'TTUHSC Sum'!#REF!,'TTUHSC Sum'!#REF!,'TTUHSC Sum'!#REF!</definedName>
    <definedName name="Z_AEEC638C_8A91_43C3_A958_A71F7CE9122F_.wvu.Cols" localSheetId="58" hidden="1">'TTUHSCEP Sum'!#REF!,'TTUHSCEP Sum'!#REF!,'TTUHSCEP Sum'!#REF!,'TTUHSCEP Sum'!#REF!,'TTUHSCEP Sum'!#REF!,'TTUHSCEP Sum'!#REF!,'TTUHSCEP Sum'!#REF!,'TTUHSCEP Sum'!#REF!,'TTUHSCEP Sum'!#REF!</definedName>
    <definedName name="Z_AEEC638C_8A91_43C3_A958_A71F7CE9122F_.wvu.Cols" localSheetId="50" hidden="1">'UNTHSC Sum'!#REF!,'UNTHSC Sum'!#REF!,'UNTHSC Sum'!#REF!,'UNTHSC Sum'!#REF!,'UNTHSC Sum'!#REF!,'UNTHSC Sum'!#REF!,'UNTHSC Sum'!#REF!,'UNTHSC Sum'!#REF!,'UNTHSC Sum'!#REF!</definedName>
    <definedName name="Z_C63CB8F7_18C4_4A70_94EC_26C8D6B5C80F_.wvu.PrintTitles" localSheetId="8" hidden="1">[7]Midwestern!$A$1:$B$65536,[7]Midwestern!$A$1:$IV$7</definedName>
    <definedName name="Z_C63CB8F7_18C4_4A70_94EC_26C8D6B5C80F_.wvu.PrintTitles" localSheetId="63" hidden="1">[7]Midwestern!$A$1:$B$65536,[7]Midwestern!$A$1:$IV$7</definedName>
    <definedName name="Z_C63CB8F7_18C4_4A70_94EC_26C8D6B5C80F_.wvu.PrintTitles" localSheetId="13" hidden="1">[7]Midwestern!$A$1:$B$65536,[7]Midwestern!$A$1:$IV$7</definedName>
    <definedName name="Z_C63CB8F7_18C4_4A70_94EC_26C8D6B5C80F_.wvu.PrintTitles" localSheetId="3" hidden="1">[7]Midwestern!$A$1:$B$65536,[7]Midwestern!$A$1:$IV$7</definedName>
    <definedName name="Z_C63CB8F7_18C4_4A70_94EC_26C8D6B5C80F_.wvu.PrintTitles" localSheetId="4" hidden="1">[7]Midwestern!$A$1:$B$65536,[7]Midwestern!$A$1:$IV$7</definedName>
    <definedName name="Z_C63CB8F7_18C4_4A70_94EC_26C8D6B5C80F_.wvu.PrintTitles" localSheetId="14" hidden="1">[7]Midwestern!$A$1:$B$65536,[7]Midwestern!$A$1:$IV$7</definedName>
    <definedName name="Z_C63CB8F7_18C4_4A70_94EC_26C8D6B5C80F_.wvu.PrintTitles" localSheetId="11" hidden="1">[7]Midwestern!$A$1:$B$65536,[7]Midwestern!$A$1:$IV$7</definedName>
    <definedName name="Z_C63CB8F7_18C4_4A70_94EC_26C8D6B5C80F_.wvu.PrintTitles" localSheetId="12" hidden="1">[7]Midwestern!$A$1:$B$65536,[7]Midwestern!$A$1:$IV$7</definedName>
    <definedName name="Z_C63CB8F7_18C4_4A70_94EC_26C8D6B5C80F_.wvu.PrintTitles" localSheetId="7" hidden="1">[7]Midwestern!$A$1:$B$65536,[7]Midwestern!$A$1:$IV$7</definedName>
    <definedName name="Z_C63CB8F7_18C4_4A70_94EC_26C8D6B5C80F_.wvu.PrintTitles" localSheetId="6" hidden="1">[7]Midwestern!$A$1:$B$65536,[7]Midwestern!$A$1:$IV$7</definedName>
    <definedName name="Z_C63CB8F7_18C4_4A70_94EC_26C8D6B5C80F_.wvu.PrintTitles" localSheetId="67" hidden="1">[7]Midwestern!$A$1:$B$65536,[7]Midwestern!$A$1:$IV$7</definedName>
    <definedName name="Z_C63CB8F7_18C4_4A70_94EC_26C8D6B5C80F_.wvu.PrintTitles" localSheetId="10" hidden="1">[7]Midwestern!$A$1:$B$65536,[7]Midwestern!$A$1:$IV$7</definedName>
    <definedName name="Z_C63CB8F7_18C4_4A70_94EC_26C8D6B5C80F_.wvu.PrintTitles" localSheetId="9" hidden="1">[7]Midwestern!$A$1:$B$65536,[7]Midwestern!$A$1:$IV$7</definedName>
    <definedName name="Z_C63CB8F7_18C4_4A70_94EC_26C8D6B5C80F_.wvu.PrintTitles" localSheetId="55" hidden="1">[7]Midwestern!$A$1:$B$65536,[7]Midwestern!$A$1:$IV$7</definedName>
    <definedName name="Z_C63CB8F7_18C4_4A70_94EC_26C8D6B5C80F_.wvu.PrintTitles" localSheetId="59" hidden="1">[7]Midwestern!$A$1:$B$65536,[7]Midwestern!$A$1:$IV$7</definedName>
    <definedName name="Z_C63CB8F7_18C4_4A70_94EC_26C8D6B5C80F_.wvu.PrintTitles" hidden="1">[8]Midwestern!$A$1:$B$65536,[8]Midwestern!$A$1:$IV$7</definedName>
    <definedName name="Z_CD28C8E9_3CF9_4B7E_BA5C_9BCC30B9DAC7_.wvu.PrintArea" localSheetId="62" hidden="1">'AUSM Sum'!$A$1:$B$70</definedName>
    <definedName name="Z_CD28C8E9_3CF9_4B7E_BA5C_9BCC30B9DAC7_.wvu.PrintArea" localSheetId="30" hidden="1">'HSH Sum'!$A$1:$B$70</definedName>
    <definedName name="Z_CD28C8E9_3CF9_4B7E_BA5C_9BCC30B9DAC7_.wvu.PrintArea" localSheetId="34" hidden="1">'HSSA Sum'!$A$1:$B$70</definedName>
    <definedName name="Z_CD28C8E9_3CF9_4B7E_BA5C_9BCC30B9DAC7_.wvu.PrintArea" localSheetId="26" hidden="1">'MBG Sum'!$A$1:$B$70</definedName>
    <definedName name="Z_CD28C8E9_3CF9_4B7E_BA5C_9BCC30B9DAC7_.wvu.PrintArea" localSheetId="38" hidden="1">'MDA Sum'!$A$1:$B$70</definedName>
    <definedName name="Z_CD28C8E9_3CF9_4B7E_BA5C_9BCC30B9DAC7_.wvu.PrintArea" localSheetId="66" hidden="1">'RGVM Sum'!$A$1:$B$70</definedName>
    <definedName name="Z_CD28C8E9_3CF9_4B7E_BA5C_9BCC30B9DAC7_.wvu.PrintArea" localSheetId="18" hidden="1">'Smmy Sum'!$A$1:$B$82</definedName>
    <definedName name="Z_CD28C8E9_3CF9_4B7E_BA5C_9BCC30B9DAC7_.wvu.PrintArea" localSheetId="22" hidden="1">'SWM Sum'!$A$1:$B$70</definedName>
    <definedName name="Z_CD28C8E9_3CF9_4B7E_BA5C_9BCC30B9DAC7_.wvu.PrintArea" localSheetId="46" hidden="1">'TAMHSC Sum'!$A$1:$B$70</definedName>
    <definedName name="Z_CD28C8E9_3CF9_4B7E_BA5C_9BCC30B9DAC7_.wvu.PrintArea" localSheetId="42" hidden="1">'THC Sum'!$A$1:$B$70</definedName>
    <definedName name="Z_CD28C8E9_3CF9_4B7E_BA5C_9BCC30B9DAC7_.wvu.PrintArea" localSheetId="54" hidden="1">'TTUHSC Sum'!$A$1:$B$70</definedName>
    <definedName name="Z_CD28C8E9_3CF9_4B7E_BA5C_9BCC30B9DAC7_.wvu.PrintArea" localSheetId="58" hidden="1">'TTUHSCEP Sum'!$A$1:$B$70</definedName>
    <definedName name="Z_CD28C8E9_3CF9_4B7E_BA5C_9BCC30B9DAC7_.wvu.PrintArea" localSheetId="50" hidden="1">'UNTHSC Sum'!$A$1:$B$70</definedName>
    <definedName name="Z_D8EE2E15_379C_4027_9083_08D90932B4E1_.wvu.PrintTitles" localSheetId="8" hidden="1">[7]Midwestern!$A$1:$B$65536,[7]Midwestern!$A$1:$IV$7</definedName>
    <definedName name="Z_D8EE2E15_379C_4027_9083_08D90932B4E1_.wvu.PrintTitles" localSheetId="63" hidden="1">[7]Midwestern!$A$1:$B$65536,[7]Midwestern!$A$1:$IV$7</definedName>
    <definedName name="Z_D8EE2E15_379C_4027_9083_08D90932B4E1_.wvu.PrintTitles" localSheetId="13" hidden="1">[7]Midwestern!$A$1:$B$65536,[7]Midwestern!$A$1:$IV$7</definedName>
    <definedName name="Z_D8EE2E15_379C_4027_9083_08D90932B4E1_.wvu.PrintTitles" localSheetId="3" hidden="1">[7]Midwestern!$A$1:$B$65536,[7]Midwestern!$A$1:$IV$7</definedName>
    <definedName name="Z_D8EE2E15_379C_4027_9083_08D90932B4E1_.wvu.PrintTitles" localSheetId="4" hidden="1">[7]Midwestern!$A$1:$B$65536,[7]Midwestern!$A$1:$IV$7</definedName>
    <definedName name="Z_D8EE2E15_379C_4027_9083_08D90932B4E1_.wvu.PrintTitles" localSheetId="14" hidden="1">[7]Midwestern!$A$1:$B$65536,[7]Midwestern!$A$1:$IV$7</definedName>
    <definedName name="Z_D8EE2E15_379C_4027_9083_08D90932B4E1_.wvu.PrintTitles" localSheetId="11" hidden="1">[7]Midwestern!$A$1:$B$65536,[7]Midwestern!$A$1:$IV$7</definedName>
    <definedName name="Z_D8EE2E15_379C_4027_9083_08D90932B4E1_.wvu.PrintTitles" localSheetId="12" hidden="1">[7]Midwestern!$A$1:$B$65536,[7]Midwestern!$A$1:$IV$7</definedName>
    <definedName name="Z_D8EE2E15_379C_4027_9083_08D90932B4E1_.wvu.PrintTitles" localSheetId="7" hidden="1">[7]Midwestern!$A$1:$B$65536,[7]Midwestern!$A$1:$IV$7</definedName>
    <definedName name="Z_D8EE2E15_379C_4027_9083_08D90932B4E1_.wvu.PrintTitles" localSheetId="6" hidden="1">[7]Midwestern!$A$1:$B$65536,[7]Midwestern!$A$1:$IV$7</definedName>
    <definedName name="Z_D8EE2E15_379C_4027_9083_08D90932B4E1_.wvu.PrintTitles" localSheetId="67" hidden="1">[7]Midwestern!$A$1:$B$65536,[7]Midwestern!$A$1:$IV$7</definedName>
    <definedName name="Z_D8EE2E15_379C_4027_9083_08D90932B4E1_.wvu.PrintTitles" localSheetId="10" hidden="1">[7]Midwestern!$A$1:$B$65536,[7]Midwestern!$A$1:$IV$7</definedName>
    <definedName name="Z_D8EE2E15_379C_4027_9083_08D90932B4E1_.wvu.PrintTitles" localSheetId="9" hidden="1">[7]Midwestern!$A$1:$B$65536,[7]Midwestern!$A$1:$IV$7</definedName>
    <definedName name="Z_D8EE2E15_379C_4027_9083_08D90932B4E1_.wvu.PrintTitles" localSheetId="55" hidden="1">[7]Midwestern!$A$1:$B$65536,[7]Midwestern!$A$1:$IV$7</definedName>
    <definedName name="Z_D8EE2E15_379C_4027_9083_08D90932B4E1_.wvu.PrintTitles" localSheetId="59" hidden="1">[7]Midwestern!$A$1:$B$65536,[7]Midwestern!$A$1:$IV$7</definedName>
    <definedName name="Z_D8EE2E15_379C_4027_9083_08D90932B4E1_.wvu.PrintTitles" hidden="1">[8]Midwestern!$A$1:$B$65536,[8]Midwestern!$A$1:$IV$7</definedName>
    <definedName name="Z_DA0A9440_6679_42F3_94BC_92F66D8750AF_.wvu.Cols" localSheetId="62" hidden="1">'AUSM Sum'!#REF!,'AUSM Sum'!#REF!,'AUSM Sum'!#REF!,'AUSM Sum'!#REF!,'AUSM Sum'!#REF!,'AUSM Sum'!#REF!,'AUSM Sum'!#REF!,'AUSM Sum'!#REF!,'AUSM Sum'!#REF!</definedName>
    <definedName name="Z_DA0A9440_6679_42F3_94BC_92F66D8750AF_.wvu.Cols" localSheetId="30" hidden="1">'HSH Sum'!#REF!,'HSH Sum'!#REF!,'HSH Sum'!#REF!,'HSH Sum'!#REF!,'HSH Sum'!#REF!,'HSH Sum'!#REF!,'HSH Sum'!#REF!,'HSH Sum'!#REF!,'HSH Sum'!#REF!</definedName>
    <definedName name="Z_DA0A9440_6679_42F3_94BC_92F66D8750AF_.wvu.Cols" localSheetId="34" hidden="1">'HSSA Sum'!#REF!,'HSSA Sum'!#REF!,'HSSA Sum'!#REF!,'HSSA Sum'!#REF!,'HSSA Sum'!#REF!,'HSSA Sum'!#REF!,'HSSA Sum'!#REF!,'HSSA Sum'!#REF!,'HSSA Sum'!#REF!</definedName>
    <definedName name="Z_DA0A9440_6679_42F3_94BC_92F66D8750AF_.wvu.Cols" localSheetId="26" hidden="1">'MBG Sum'!#REF!,'MBG Sum'!#REF!,'MBG Sum'!#REF!,'MBG Sum'!#REF!,'MBG Sum'!#REF!,'MBG Sum'!#REF!,'MBG Sum'!#REF!,'MBG Sum'!#REF!,'MBG Sum'!#REF!</definedName>
    <definedName name="Z_DA0A9440_6679_42F3_94BC_92F66D8750AF_.wvu.Cols" localSheetId="38" hidden="1">'MDA Sum'!#REF!,'MDA Sum'!#REF!,'MDA Sum'!#REF!,'MDA Sum'!#REF!,'MDA Sum'!#REF!,'MDA Sum'!#REF!,'MDA Sum'!#REF!,'MDA Sum'!#REF!,'MDA Sum'!#REF!</definedName>
    <definedName name="Z_DA0A9440_6679_42F3_94BC_92F66D8750AF_.wvu.Cols" localSheetId="66" hidden="1">'RGVM Sum'!#REF!,'RGVM Sum'!#REF!,'RGVM Sum'!#REF!,'RGVM Sum'!#REF!,'RGVM Sum'!#REF!,'RGVM Sum'!#REF!,'RGVM Sum'!#REF!,'RGVM Sum'!#REF!,'RGVM Sum'!#REF!</definedName>
    <definedName name="Z_DA0A9440_6679_42F3_94BC_92F66D8750AF_.wvu.Cols" localSheetId="16" hidden="1">'Smmy HRI SbS'!#REF!,'Smmy HRI SbS'!#REF!,'Smmy HRI SbS'!#REF!,'Smmy HRI SbS'!#REF!,'Smmy HRI SbS'!#REF!,'Smmy HRI SbS'!#REF!,'Smmy HRI SbS'!#REF!,'Smmy HRI SbS'!#REF!,'Smmy HRI SbS'!#REF!</definedName>
    <definedName name="Z_DA0A9440_6679_42F3_94BC_92F66D8750AF_.wvu.Cols" localSheetId="18" hidden="1">'Smmy Sum'!#REF!,'Smmy Sum'!#REF!,'Smmy Sum'!#REF!,'Smmy Sum'!#REF!,'Smmy Sum'!#REF!,'Smmy Sum'!#REF!,'Smmy Sum'!#REF!,'Smmy Sum'!#REF!,'Smmy Sum'!#REF!</definedName>
    <definedName name="Z_DA0A9440_6679_42F3_94BC_92F66D8750AF_.wvu.Cols" localSheetId="22" hidden="1">'SWM Sum'!#REF!,'SWM Sum'!#REF!,'SWM Sum'!#REF!,'SWM Sum'!#REF!,'SWM Sum'!#REF!,'SWM Sum'!#REF!,'SWM Sum'!#REF!,'SWM Sum'!#REF!,'SWM Sum'!#REF!</definedName>
    <definedName name="Z_DA0A9440_6679_42F3_94BC_92F66D8750AF_.wvu.Cols" localSheetId="46" hidden="1">'TAMHSC Sum'!#REF!,'TAMHSC Sum'!#REF!,'TAMHSC Sum'!#REF!,'TAMHSC Sum'!#REF!,'TAMHSC Sum'!#REF!,'TAMHSC Sum'!#REF!,'TAMHSC Sum'!#REF!,'TAMHSC Sum'!#REF!,'TAMHSC Sum'!#REF!</definedName>
    <definedName name="Z_DA0A9440_6679_42F3_94BC_92F66D8750AF_.wvu.Cols" localSheetId="42" hidden="1">'THC Sum'!#REF!,'THC Sum'!#REF!,'THC Sum'!#REF!,'THC Sum'!#REF!,'THC Sum'!#REF!,'THC Sum'!#REF!,'THC Sum'!#REF!,'THC Sum'!#REF!,'THC Sum'!#REF!</definedName>
    <definedName name="Z_DA0A9440_6679_42F3_94BC_92F66D8750AF_.wvu.Cols" localSheetId="54" hidden="1">'TTUHSC Sum'!#REF!,'TTUHSC Sum'!#REF!,'TTUHSC Sum'!#REF!,'TTUHSC Sum'!#REF!,'TTUHSC Sum'!#REF!,'TTUHSC Sum'!#REF!,'TTUHSC Sum'!#REF!,'TTUHSC Sum'!#REF!,'TTUHSC Sum'!#REF!</definedName>
    <definedName name="Z_DA0A9440_6679_42F3_94BC_92F66D8750AF_.wvu.Cols" localSheetId="58" hidden="1">'TTUHSCEP Sum'!#REF!,'TTUHSCEP Sum'!#REF!,'TTUHSCEP Sum'!#REF!,'TTUHSCEP Sum'!#REF!,'TTUHSCEP Sum'!#REF!,'TTUHSCEP Sum'!#REF!,'TTUHSCEP Sum'!#REF!,'TTUHSCEP Sum'!#REF!,'TTUHSCEP Sum'!#REF!</definedName>
    <definedName name="Z_DA0A9440_6679_42F3_94BC_92F66D8750AF_.wvu.Cols" localSheetId="50" hidden="1">'UNTHSC Sum'!#REF!,'UNTHSC Sum'!#REF!,'UNTHSC Sum'!#REF!,'UNTHSC Sum'!#REF!,'UNTHSC Sum'!#REF!,'UNTHSC Sum'!#REF!,'UNTHSC Sum'!#REF!,'UNTHSC Sum'!#REF!,'UNTHSC Sum'!#REF!</definedName>
    <definedName name="Z_ECAD605C_AB83_4734_B66F_6ADEF748858F_.wvu.PrintArea" localSheetId="61" hidden="1">'AUSM Chts'!$A$1:$A$137</definedName>
    <definedName name="Z_ECAD605C_AB83_4734_B66F_6ADEF748858F_.wvu.PrintArea" localSheetId="63" hidden="1">'AUSM FGD'!$B$2:$M$100</definedName>
    <definedName name="Z_ECAD605C_AB83_4734_B66F_6ADEF748858F_.wvu.PrintArea" localSheetId="62" hidden="1">'AUSM Sum'!$A$1:$B$70</definedName>
    <definedName name="Z_ECAD605C_AB83_4734_B66F_6ADEF748858F_.wvu.PrintArea" localSheetId="29" hidden="1">'HSH Chts'!$A$1:$A$137</definedName>
    <definedName name="Z_ECAD605C_AB83_4734_B66F_6ADEF748858F_.wvu.PrintArea" localSheetId="31" hidden="1">'HSH FGD'!$B$2:$M$100</definedName>
    <definedName name="Z_ECAD605C_AB83_4734_B66F_6ADEF748858F_.wvu.PrintArea" localSheetId="30" hidden="1">'HSH Sum'!$A$1:$B$70</definedName>
    <definedName name="Z_ECAD605C_AB83_4734_B66F_6ADEF748858F_.wvu.PrintArea" localSheetId="33" hidden="1">'HSSA Chts'!$A$1:$A$137</definedName>
    <definedName name="Z_ECAD605C_AB83_4734_B66F_6ADEF748858F_.wvu.PrintArea" localSheetId="35" hidden="1">'HSSA FGD'!$B$2:$M$100</definedName>
    <definedName name="Z_ECAD605C_AB83_4734_B66F_6ADEF748858F_.wvu.PrintArea" localSheetId="34" hidden="1">'HSSA Sum'!$A$1:$B$70</definedName>
    <definedName name="Z_ECAD605C_AB83_4734_B66F_6ADEF748858F_.wvu.PrintArea" localSheetId="25" hidden="1">'MBG Chts'!$A$1:$A$137</definedName>
    <definedName name="Z_ECAD605C_AB83_4734_B66F_6ADEF748858F_.wvu.PrintArea" localSheetId="27" hidden="1">'MBG FGD'!$B$2:$M$100</definedName>
    <definedName name="Z_ECAD605C_AB83_4734_B66F_6ADEF748858F_.wvu.PrintArea" localSheetId="26" hidden="1">'MBG Sum'!$A$1:$B$70</definedName>
    <definedName name="Z_ECAD605C_AB83_4734_B66F_6ADEF748858F_.wvu.PrintArea" localSheetId="37" hidden="1">'MDA Chts'!$A$1:$A$137</definedName>
    <definedName name="Z_ECAD605C_AB83_4734_B66F_6ADEF748858F_.wvu.PrintArea" localSheetId="39" hidden="1">'MDA FGD'!$B$2:$M$100</definedName>
    <definedName name="Z_ECAD605C_AB83_4734_B66F_6ADEF748858F_.wvu.PrintArea" localSheetId="38" hidden="1">'MDA Sum'!$A$1:$B$70</definedName>
    <definedName name="Z_ECAD605C_AB83_4734_B66F_6ADEF748858F_.wvu.PrintArea" localSheetId="65" hidden="1">'RGVM Chts'!$A$1:$A$137</definedName>
    <definedName name="Z_ECAD605C_AB83_4734_B66F_6ADEF748858F_.wvu.PrintArea" localSheetId="67" hidden="1">'RGVM FGD'!$B$2:$M$100</definedName>
    <definedName name="Z_ECAD605C_AB83_4734_B66F_6ADEF748858F_.wvu.PrintArea" localSheetId="66" hidden="1">'RGVM Sum'!$A$1:$B$70</definedName>
    <definedName name="Z_ECAD605C_AB83_4734_B66F_6ADEF748858F_.wvu.PrintArea" localSheetId="17" hidden="1">'Smmy Chts'!$A$1:$A$137</definedName>
    <definedName name="Z_ECAD605C_AB83_4734_B66F_6ADEF748858F_.wvu.PrintArea" localSheetId="19" hidden="1">'Smmy FGD'!$B$2:$M$940</definedName>
    <definedName name="Z_ECAD605C_AB83_4734_B66F_6ADEF748858F_.wvu.PrintArea" localSheetId="18" hidden="1">'Smmy Sum'!$A$1:$B$82</definedName>
    <definedName name="Z_ECAD605C_AB83_4734_B66F_6ADEF748858F_.wvu.PrintArea" localSheetId="21" hidden="1">'SWM Chts'!$A$1:$A$137</definedName>
    <definedName name="Z_ECAD605C_AB83_4734_B66F_6ADEF748858F_.wvu.PrintArea" localSheetId="23" hidden="1">'SWM FGD'!$B$2:$M$100</definedName>
    <definedName name="Z_ECAD605C_AB83_4734_B66F_6ADEF748858F_.wvu.PrintArea" localSheetId="22" hidden="1">'SWM Sum'!$A$1:$B$70</definedName>
    <definedName name="Z_ECAD605C_AB83_4734_B66F_6ADEF748858F_.wvu.PrintArea" localSheetId="45" hidden="1">'TAMHSC Chts'!$A$1:$A$137</definedName>
    <definedName name="Z_ECAD605C_AB83_4734_B66F_6ADEF748858F_.wvu.PrintArea" localSheetId="47" hidden="1">'TAMHSC FGD'!$B$2:$M$100</definedName>
    <definedName name="Z_ECAD605C_AB83_4734_B66F_6ADEF748858F_.wvu.PrintArea" localSheetId="46" hidden="1">'TAMHSC Sum'!$A$1:$B$70</definedName>
    <definedName name="Z_ECAD605C_AB83_4734_B66F_6ADEF748858F_.wvu.PrintArea" localSheetId="41" hidden="1">'THC Chts'!$A$1:$A$137</definedName>
    <definedName name="Z_ECAD605C_AB83_4734_B66F_6ADEF748858F_.wvu.PrintArea" localSheetId="43" hidden="1">'THC FGD'!$B$2:$M$100</definedName>
    <definedName name="Z_ECAD605C_AB83_4734_B66F_6ADEF748858F_.wvu.PrintArea" localSheetId="42" hidden="1">'THC Sum'!$A$1:$B$70</definedName>
    <definedName name="Z_ECAD605C_AB83_4734_B66F_6ADEF748858F_.wvu.PrintArea" localSheetId="53" hidden="1">'TTUHSC Chts'!$A$1:$A$137</definedName>
    <definedName name="Z_ECAD605C_AB83_4734_B66F_6ADEF748858F_.wvu.PrintArea" localSheetId="55" hidden="1">'TTUHSC FGD'!$B$2:$M$100</definedName>
    <definedName name="Z_ECAD605C_AB83_4734_B66F_6ADEF748858F_.wvu.PrintArea" localSheetId="54" hidden="1">'TTUHSC Sum'!$A$1:$B$70</definedName>
    <definedName name="Z_ECAD605C_AB83_4734_B66F_6ADEF748858F_.wvu.PrintArea" localSheetId="57" hidden="1">'TTUHSCEP Chts'!$A$1:$A$137</definedName>
    <definedName name="Z_ECAD605C_AB83_4734_B66F_6ADEF748858F_.wvu.PrintArea" localSheetId="59" hidden="1">'TTUHSCEP FGD'!$B$2:$M$100</definedName>
    <definedName name="Z_ECAD605C_AB83_4734_B66F_6ADEF748858F_.wvu.PrintArea" localSheetId="58" hidden="1">'TTUHSCEP Sum'!$A$1:$B$70</definedName>
    <definedName name="Z_ECAD605C_AB83_4734_B66F_6ADEF748858F_.wvu.PrintArea" localSheetId="49" hidden="1">'UNTHSC Chts'!$A$1:$A$137</definedName>
    <definedName name="Z_ECAD605C_AB83_4734_B66F_6ADEF748858F_.wvu.PrintArea" localSheetId="51" hidden="1">'UNTHSC FGD'!$B$2:$M$100</definedName>
    <definedName name="Z_ECAD605C_AB83_4734_B66F_6ADEF748858F_.wvu.PrintArea" localSheetId="50" hidden="1">'UNTHSC Sum'!$A$1:$B$70</definedName>
  </definedNames>
  <calcPr calcId="152511"/>
  <customWorkbookViews>
    <customWorkbookView name="prntcharts" guid="{ECAD605C-AB83-4734-B66F-6ADEF748858F}" maximized="1" windowWidth="1020" windowHeight="563" activeSheetId="3"/>
    <customWorkbookView name="prntsummary" guid="{A81C0C90-8FC5-4D90-88FE-F0BCC0ABCCB0}" maximized="1" windowWidth="1020" windowHeight="563" activeSheetId="1"/>
    <customWorkbookView name="prntfunddetail" guid="{3C971B3B-4F1A-4A5F-87B7-49ECD435050C}" maximized="1" windowWidth="1020" windowHeight="563" activeSheetId="8"/>
    <customWorkbookView name="Frank DuBose - Personal View" guid="{CD28C8E9-3CF9-4B7E-BA5C-9BCC30B9DAC7}" mergeInterval="0" personalView="1" maximized="1" windowWidth="796" windowHeight="431" activeSheetId="1"/>
  </customWorkbookViews>
</workbook>
</file>

<file path=xl/calcChain.xml><?xml version="1.0" encoding="utf-8"?>
<calcChain xmlns="http://schemas.openxmlformats.org/spreadsheetml/2006/main">
  <c r="I47" i="99" l="1"/>
  <c r="J47" i="99"/>
  <c r="K47" i="99"/>
  <c r="L47" i="99"/>
  <c r="M47" i="99"/>
  <c r="N47" i="99"/>
  <c r="O47" i="99"/>
  <c r="P47" i="99"/>
  <c r="V23" i="65" l="1"/>
  <c r="V19" i="65"/>
  <c r="P23" i="65"/>
  <c r="P19" i="65"/>
  <c r="P20" i="65" s="1"/>
  <c r="D10" i="17"/>
  <c r="E10" i="17"/>
  <c r="F10" i="17"/>
  <c r="G10" i="17"/>
  <c r="H10" i="17"/>
  <c r="I10" i="17"/>
  <c r="J10" i="17"/>
  <c r="K10" i="17"/>
  <c r="L10" i="17"/>
  <c r="M10" i="17"/>
  <c r="B10" i="16"/>
  <c r="D10" i="16"/>
  <c r="F10" i="16"/>
  <c r="D11" i="17"/>
  <c r="E11" i="17"/>
  <c r="F11" i="17"/>
  <c r="G11" i="17"/>
  <c r="H11" i="17"/>
  <c r="I11" i="17"/>
  <c r="J11" i="17"/>
  <c r="K11" i="17"/>
  <c r="L11" i="17"/>
  <c r="M11" i="17"/>
  <c r="B11" i="16"/>
  <c r="D11" i="16"/>
  <c r="F11" i="16"/>
  <c r="G11" i="16"/>
  <c r="H19" i="101"/>
  <c r="M13" i="94"/>
  <c r="F13" i="94"/>
  <c r="M26" i="94"/>
  <c r="F26" i="94"/>
  <c r="D13" i="17"/>
  <c r="E13" i="17"/>
  <c r="F13" i="17"/>
  <c r="G13" i="17"/>
  <c r="H13" i="17"/>
  <c r="I13" i="17"/>
  <c r="J13" i="17"/>
  <c r="K13" i="17"/>
  <c r="L13" i="17"/>
  <c r="M13" i="17"/>
  <c r="B13" i="16"/>
  <c r="D13" i="16"/>
  <c r="F13" i="16"/>
  <c r="D14" i="17"/>
  <c r="E14" i="17"/>
  <c r="F14" i="17"/>
  <c r="G14" i="17"/>
  <c r="H14" i="17"/>
  <c r="I14" i="17"/>
  <c r="J14" i="17"/>
  <c r="K14" i="17"/>
  <c r="L14" i="17"/>
  <c r="M14" i="17"/>
  <c r="B14" i="16"/>
  <c r="D14" i="16"/>
  <c r="F14" i="16"/>
  <c r="G14" i="16"/>
  <c r="I19" i="101"/>
  <c r="M52" i="94"/>
  <c r="F52" i="94"/>
  <c r="M65" i="94"/>
  <c r="F65" i="94"/>
  <c r="D23" i="17"/>
  <c r="D24" i="17"/>
  <c r="D25" i="17"/>
  <c r="D26" i="17"/>
  <c r="D27" i="17"/>
  <c r="D28" i="17"/>
  <c r="D29" i="17"/>
  <c r="E23" i="17"/>
  <c r="E24" i="17"/>
  <c r="E25" i="17"/>
  <c r="E26" i="17"/>
  <c r="E27" i="17"/>
  <c r="E28" i="17"/>
  <c r="E29" i="17"/>
  <c r="F23" i="17"/>
  <c r="F24" i="17"/>
  <c r="F25" i="17"/>
  <c r="F26" i="17"/>
  <c r="F27" i="17"/>
  <c r="F28" i="17"/>
  <c r="F29" i="17"/>
  <c r="G23" i="17"/>
  <c r="G24" i="17"/>
  <c r="G25" i="17"/>
  <c r="G26" i="17"/>
  <c r="G27" i="17"/>
  <c r="G28" i="17"/>
  <c r="G29" i="17"/>
  <c r="H23" i="17"/>
  <c r="H24" i="17"/>
  <c r="H25" i="17"/>
  <c r="H26" i="17"/>
  <c r="H27" i="17"/>
  <c r="H28" i="17"/>
  <c r="H29" i="17"/>
  <c r="I23" i="17"/>
  <c r="I24" i="17"/>
  <c r="I25" i="17"/>
  <c r="I26" i="17"/>
  <c r="I27" i="17"/>
  <c r="I28" i="17"/>
  <c r="I29" i="17"/>
  <c r="J23" i="17"/>
  <c r="J24" i="17"/>
  <c r="J25" i="17"/>
  <c r="J26" i="17"/>
  <c r="J27" i="17"/>
  <c r="J28" i="17"/>
  <c r="J29" i="17"/>
  <c r="K23" i="17"/>
  <c r="K24" i="17"/>
  <c r="K25" i="17"/>
  <c r="K26" i="17"/>
  <c r="K27" i="17"/>
  <c r="K28" i="17"/>
  <c r="K29" i="17"/>
  <c r="L23" i="17"/>
  <c r="L24" i="17"/>
  <c r="L25" i="17"/>
  <c r="L26" i="17"/>
  <c r="L27" i="17"/>
  <c r="L28" i="17"/>
  <c r="L29" i="17"/>
  <c r="M29" i="17"/>
  <c r="B18" i="16"/>
  <c r="D18" i="16"/>
  <c r="F18" i="16"/>
  <c r="D36" i="17"/>
  <c r="D37" i="17"/>
  <c r="D38" i="17"/>
  <c r="D39" i="17"/>
  <c r="D40" i="17"/>
  <c r="D41" i="17"/>
  <c r="D42" i="17"/>
  <c r="E36" i="17"/>
  <c r="E37" i="17"/>
  <c r="E38" i="17"/>
  <c r="E39" i="17"/>
  <c r="E40" i="17"/>
  <c r="E41" i="17"/>
  <c r="E42" i="17"/>
  <c r="F36" i="17"/>
  <c r="F37" i="17"/>
  <c r="F38" i="17"/>
  <c r="F39" i="17"/>
  <c r="F40" i="17"/>
  <c r="F41" i="17"/>
  <c r="F42" i="17"/>
  <c r="G36" i="17"/>
  <c r="G37" i="17"/>
  <c r="G38" i="17"/>
  <c r="G39" i="17"/>
  <c r="G40" i="17"/>
  <c r="G41" i="17"/>
  <c r="G42" i="17"/>
  <c r="H36" i="17"/>
  <c r="H37" i="17"/>
  <c r="H38" i="17"/>
  <c r="H39" i="17"/>
  <c r="H40" i="17"/>
  <c r="H41" i="17"/>
  <c r="H42" i="17"/>
  <c r="I36" i="17"/>
  <c r="I37" i="17"/>
  <c r="I38" i="17"/>
  <c r="I39" i="17"/>
  <c r="I40" i="17"/>
  <c r="I41" i="17"/>
  <c r="I42" i="17"/>
  <c r="J36" i="17"/>
  <c r="J37" i="17"/>
  <c r="J38" i="17"/>
  <c r="J39" i="17"/>
  <c r="J40" i="17"/>
  <c r="J41" i="17"/>
  <c r="J42" i="17"/>
  <c r="K36" i="17"/>
  <c r="K37" i="17"/>
  <c r="K38" i="17"/>
  <c r="K39" i="17"/>
  <c r="K40" i="17"/>
  <c r="K41" i="17"/>
  <c r="K42" i="17"/>
  <c r="L36" i="17"/>
  <c r="L37" i="17"/>
  <c r="L38" i="17"/>
  <c r="L39" i="17"/>
  <c r="L40" i="17"/>
  <c r="L41" i="17"/>
  <c r="L42" i="17"/>
  <c r="M42" i="17"/>
  <c r="B19" i="16"/>
  <c r="D19" i="16"/>
  <c r="F19" i="16"/>
  <c r="F20" i="16"/>
  <c r="J19" i="101"/>
  <c r="M236" i="94"/>
  <c r="F236" i="94"/>
  <c r="M393" i="94"/>
  <c r="F393" i="94"/>
  <c r="D47" i="17"/>
  <c r="E47" i="17"/>
  <c r="F47" i="17"/>
  <c r="G47" i="17"/>
  <c r="H47" i="17"/>
  <c r="I47" i="17"/>
  <c r="J47" i="17"/>
  <c r="K47" i="17"/>
  <c r="L47" i="17"/>
  <c r="M47" i="17"/>
  <c r="B23" i="16"/>
  <c r="D23" i="16"/>
  <c r="F23" i="16"/>
  <c r="K19" i="101"/>
  <c r="M422" i="94"/>
  <c r="F422" i="94"/>
  <c r="D56" i="17"/>
  <c r="E56" i="17"/>
  <c r="F56" i="17"/>
  <c r="G56" i="17"/>
  <c r="H56" i="17"/>
  <c r="I56" i="17"/>
  <c r="J56" i="17"/>
  <c r="K56" i="17"/>
  <c r="L56" i="17"/>
  <c r="M56" i="17"/>
  <c r="B32" i="16"/>
  <c r="D32" i="16"/>
  <c r="F32" i="16"/>
  <c r="D57" i="17"/>
  <c r="E57" i="17"/>
  <c r="F57" i="17"/>
  <c r="G57" i="17"/>
  <c r="H57" i="17"/>
  <c r="I57" i="17"/>
  <c r="J57" i="17"/>
  <c r="K57" i="17"/>
  <c r="L57" i="17"/>
  <c r="M57" i="17"/>
  <c r="B33" i="16"/>
  <c r="D33" i="16"/>
  <c r="F33" i="16"/>
  <c r="D58" i="17"/>
  <c r="E58" i="17"/>
  <c r="F58" i="17"/>
  <c r="G58" i="17"/>
  <c r="H58" i="17"/>
  <c r="I58" i="17"/>
  <c r="J58" i="17"/>
  <c r="K58" i="17"/>
  <c r="L58" i="17"/>
  <c r="M58" i="17"/>
  <c r="B34" i="16"/>
  <c r="D34" i="16"/>
  <c r="F34" i="16"/>
  <c r="D59" i="17"/>
  <c r="E59" i="17"/>
  <c r="F59" i="17"/>
  <c r="G59" i="17"/>
  <c r="H59" i="17"/>
  <c r="I59" i="17"/>
  <c r="J59" i="17"/>
  <c r="K59" i="17"/>
  <c r="L59" i="17"/>
  <c r="M59" i="17"/>
  <c r="B35" i="16"/>
  <c r="D35" i="16"/>
  <c r="F35" i="16"/>
  <c r="D60" i="17"/>
  <c r="E60" i="17"/>
  <c r="F60" i="17"/>
  <c r="G60" i="17"/>
  <c r="H60" i="17"/>
  <c r="I60" i="17"/>
  <c r="J60" i="17"/>
  <c r="K60" i="17"/>
  <c r="L60" i="17"/>
  <c r="M60" i="17"/>
  <c r="B36" i="16"/>
  <c r="D36" i="16"/>
  <c r="F36" i="16"/>
  <c r="D61" i="17"/>
  <c r="E61" i="17"/>
  <c r="F61" i="17"/>
  <c r="G61" i="17"/>
  <c r="H61" i="17"/>
  <c r="I61" i="17"/>
  <c r="J61" i="17"/>
  <c r="K61" i="17"/>
  <c r="L61" i="17"/>
  <c r="M61" i="17"/>
  <c r="B37" i="16"/>
  <c r="D37" i="16"/>
  <c r="F37" i="16"/>
  <c r="F38" i="16"/>
  <c r="L19" i="101"/>
  <c r="M467" i="94"/>
  <c r="F467" i="94"/>
  <c r="M480" i="94"/>
  <c r="F480" i="94"/>
  <c r="M493" i="94"/>
  <c r="F493" i="94"/>
  <c r="M506" i="94"/>
  <c r="F506" i="94"/>
  <c r="M519" i="94"/>
  <c r="F519" i="94"/>
  <c r="M532" i="94"/>
  <c r="F532" i="94"/>
  <c r="F15" i="16"/>
  <c r="F39" i="16"/>
  <c r="G40" i="16"/>
  <c r="G41" i="16"/>
  <c r="M19" i="101"/>
  <c r="I121" i="71"/>
  <c r="H121" i="71"/>
  <c r="G121" i="71"/>
  <c r="F121" i="71"/>
  <c r="J77" i="71"/>
  <c r="J119" i="71"/>
  <c r="J78" i="71"/>
  <c r="I119" i="71"/>
  <c r="J76" i="71"/>
  <c r="H119" i="71"/>
  <c r="J75" i="71"/>
  <c r="G119" i="71"/>
  <c r="J74" i="71"/>
  <c r="F119" i="71"/>
  <c r="J73" i="71"/>
  <c r="D119" i="71"/>
  <c r="J60" i="71"/>
  <c r="J117" i="71"/>
  <c r="J61" i="71"/>
  <c r="I117" i="71"/>
  <c r="J59" i="71"/>
  <c r="H117" i="71"/>
  <c r="J58" i="71"/>
  <c r="G117" i="71"/>
  <c r="J56" i="71"/>
  <c r="J57" i="71"/>
  <c r="F117" i="71"/>
  <c r="J54" i="71"/>
  <c r="J55" i="71"/>
  <c r="E117" i="71"/>
  <c r="J53" i="71"/>
  <c r="D117" i="71"/>
  <c r="J33" i="71"/>
  <c r="D116" i="71"/>
  <c r="J36" i="71"/>
  <c r="F116" i="71"/>
  <c r="J34" i="71"/>
  <c r="J35" i="71"/>
  <c r="E116" i="71"/>
  <c r="J40" i="71"/>
  <c r="H116" i="71"/>
  <c r="J37" i="71"/>
  <c r="J38" i="71"/>
  <c r="J39" i="71"/>
  <c r="G116" i="71"/>
  <c r="B3" i="103"/>
  <c r="B2" i="103"/>
  <c r="D4" i="103"/>
  <c r="V45" i="102"/>
  <c r="V49" i="102" s="1"/>
  <c r="U45" i="102"/>
  <c r="U49" i="102" s="1"/>
  <c r="T45" i="102"/>
  <c r="T49" i="102" s="1"/>
  <c r="S45" i="102"/>
  <c r="R45" i="102"/>
  <c r="R49" i="102" s="1"/>
  <c r="Q45" i="102"/>
  <c r="Q49" i="102" s="1"/>
  <c r="P45" i="102"/>
  <c r="O45" i="102"/>
  <c r="O49" i="102" s="1"/>
  <c r="G49" i="101"/>
  <c r="E22" i="101"/>
  <c r="C22" i="101"/>
  <c r="E21" i="101"/>
  <c r="E20" i="101"/>
  <c r="E19" i="101"/>
  <c r="E18" i="101"/>
  <c r="E17" i="101"/>
  <c r="E16" i="101"/>
  <c r="E15" i="101"/>
  <c r="E14" i="101"/>
  <c r="E13" i="101"/>
  <c r="E12" i="101"/>
  <c r="E11" i="101"/>
  <c r="E10" i="101"/>
  <c r="M45" i="102"/>
  <c r="G45" i="102"/>
  <c r="E22" i="102"/>
  <c r="C22" i="102"/>
  <c r="E21" i="102"/>
  <c r="E20" i="102"/>
  <c r="E19" i="102"/>
  <c r="E18" i="102"/>
  <c r="E17" i="102"/>
  <c r="E16" i="102"/>
  <c r="E15" i="102"/>
  <c r="E14" i="102"/>
  <c r="E13" i="102"/>
  <c r="E12" i="102"/>
  <c r="E11" i="102"/>
  <c r="E10" i="102"/>
  <c r="W49" i="102"/>
  <c r="P49" i="102"/>
  <c r="S49" i="102"/>
  <c r="M49" i="102"/>
  <c r="G49" i="102"/>
  <c r="G53" i="101"/>
  <c r="K93" i="71"/>
  <c r="K89" i="71"/>
  <c r="K85" i="71"/>
  <c r="K79" i="71"/>
  <c r="I8" i="51" s="1"/>
  <c r="K70" i="71"/>
  <c r="K62" i="71"/>
  <c r="K50" i="71"/>
  <c r="K45" i="71"/>
  <c r="K41" i="71"/>
  <c r="K30" i="71"/>
  <c r="K18" i="71"/>
  <c r="K9" i="71"/>
  <c r="K106" i="71" s="1"/>
  <c r="I95" i="71"/>
  <c r="I108" i="71"/>
  <c r="C95" i="71"/>
  <c r="C108" i="71"/>
  <c r="D95" i="71"/>
  <c r="D108" i="71"/>
  <c r="E95" i="71"/>
  <c r="E108" i="71"/>
  <c r="F95" i="71"/>
  <c r="F108" i="71"/>
  <c r="G95" i="71"/>
  <c r="G108" i="71"/>
  <c r="H95" i="71"/>
  <c r="H108" i="71"/>
  <c r="J92" i="71"/>
  <c r="J93" i="71"/>
  <c r="J88" i="71"/>
  <c r="D125" i="71"/>
  <c r="J84" i="71"/>
  <c r="F120" i="71"/>
  <c r="J83" i="71"/>
  <c r="H120" i="71"/>
  <c r="J82" i="71"/>
  <c r="D120" i="71"/>
  <c r="J69" i="71"/>
  <c r="I118" i="71"/>
  <c r="J68" i="71"/>
  <c r="J118" i="71"/>
  <c r="J67" i="71"/>
  <c r="G118" i="71"/>
  <c r="J66" i="71"/>
  <c r="F118" i="71"/>
  <c r="J65" i="71"/>
  <c r="D118" i="71"/>
  <c r="J49" i="71"/>
  <c r="I123" i="71"/>
  <c r="J48" i="71"/>
  <c r="F123" i="71"/>
  <c r="J44" i="71"/>
  <c r="J29" i="71"/>
  <c r="J28" i="71"/>
  <c r="J27" i="71"/>
  <c r="J26" i="71"/>
  <c r="J25" i="71"/>
  <c r="J24" i="71"/>
  <c r="J23" i="71"/>
  <c r="J22" i="71"/>
  <c r="E121" i="71"/>
  <c r="J21" i="71"/>
  <c r="J17" i="71"/>
  <c r="I124" i="71"/>
  <c r="J16" i="71"/>
  <c r="H124" i="71"/>
  <c r="J15" i="71"/>
  <c r="G124" i="71"/>
  <c r="J14" i="71"/>
  <c r="F124" i="71"/>
  <c r="J13" i="71"/>
  <c r="J12" i="71"/>
  <c r="J8" i="71"/>
  <c r="J7" i="71"/>
  <c r="J6" i="71"/>
  <c r="J45" i="71"/>
  <c r="G122" i="71"/>
  <c r="J89" i="71"/>
  <c r="D124" i="71"/>
  <c r="D126" i="71"/>
  <c r="J9" i="71"/>
  <c r="J18" i="71"/>
  <c r="J85" i="71"/>
  <c r="D115" i="71"/>
  <c r="J79" i="71"/>
  <c r="J70" i="71"/>
  <c r="J62" i="71"/>
  <c r="J50" i="71"/>
  <c r="J41" i="71"/>
  <c r="J30" i="71"/>
  <c r="S87" i="87"/>
  <c r="S84" i="87"/>
  <c r="P54" i="98"/>
  <c r="N54" i="98"/>
  <c r="M54" i="98"/>
  <c r="J95" i="71"/>
  <c r="J106" i="71"/>
  <c r="J108" i="71"/>
  <c r="G87" i="72"/>
  <c r="C22" i="100"/>
  <c r="C21" i="100"/>
  <c r="C20" i="100"/>
  <c r="C19" i="100"/>
  <c r="C18" i="100"/>
  <c r="C17" i="100"/>
  <c r="C16" i="100"/>
  <c r="C15" i="100"/>
  <c r="C14" i="100"/>
  <c r="C13" i="100"/>
  <c r="C12" i="100"/>
  <c r="C11" i="100"/>
  <c r="C24" i="100"/>
  <c r="J66" i="72"/>
  <c r="J67" i="72"/>
  <c r="K87" i="72"/>
  <c r="C23" i="99"/>
  <c r="E11" i="99"/>
  <c r="E22" i="99"/>
  <c r="E21" i="99"/>
  <c r="E20" i="99"/>
  <c r="E18" i="99"/>
  <c r="E17" i="99"/>
  <c r="E16" i="99"/>
  <c r="E15" i="99"/>
  <c r="E19" i="99"/>
  <c r="E14" i="99"/>
  <c r="E13" i="99"/>
  <c r="E12" i="99"/>
  <c r="O19" i="71"/>
  <c r="Q51" i="99"/>
  <c r="N51" i="99"/>
  <c r="P51" i="99"/>
  <c r="O51" i="99"/>
  <c r="M51" i="99"/>
  <c r="L51" i="99"/>
  <c r="K51" i="99"/>
  <c r="J51" i="99"/>
  <c r="I51" i="99"/>
  <c r="F47" i="99"/>
  <c r="F51" i="99"/>
  <c r="E23" i="99"/>
  <c r="F50" i="98"/>
  <c r="F54" i="98"/>
  <c r="P46" i="98"/>
  <c r="N46" i="98"/>
  <c r="M46" i="98"/>
  <c r="E23" i="98"/>
  <c r="C23" i="98"/>
  <c r="E21" i="98"/>
  <c r="E22" i="98"/>
  <c r="E20" i="98"/>
  <c r="E12" i="98"/>
  <c r="E15" i="98"/>
  <c r="E13" i="98"/>
  <c r="E19" i="98"/>
  <c r="E16" i="98"/>
  <c r="E18" i="98"/>
  <c r="E17" i="98"/>
  <c r="E14" i="98"/>
  <c r="E11" i="98"/>
  <c r="L120" i="87"/>
  <c r="B1" i="93"/>
  <c r="B2" i="92"/>
  <c r="B879" i="94"/>
  <c r="K122" i="71"/>
  <c r="L122" i="71"/>
  <c r="D121" i="71"/>
  <c r="E20" i="97"/>
  <c r="K72" i="72"/>
  <c r="G72" i="72"/>
  <c r="E21" i="97"/>
  <c r="E22" i="97"/>
  <c r="E24" i="97"/>
  <c r="E19" i="97"/>
  <c r="E18" i="97"/>
  <c r="E17" i="97"/>
  <c r="E16" i="97"/>
  <c r="E15" i="97"/>
  <c r="E14" i="97"/>
  <c r="E13" i="97"/>
  <c r="E12" i="97"/>
  <c r="E11" i="97"/>
  <c r="M7" i="94"/>
  <c r="B6" i="94"/>
  <c r="B4" i="94"/>
  <c r="B3" i="94"/>
  <c r="E21" i="80"/>
  <c r="E22" i="80"/>
  <c r="E20" i="80"/>
  <c r="D21" i="73"/>
  <c r="D22" i="73"/>
  <c r="D20" i="73"/>
  <c r="D21" i="74"/>
  <c r="D22" i="74"/>
  <c r="D20" i="74"/>
  <c r="A52" i="70"/>
  <c r="K94" i="92"/>
  <c r="K879" i="94"/>
  <c r="K125" i="71"/>
  <c r="L125" i="71"/>
  <c r="U103" i="92"/>
  <c r="R103" i="92"/>
  <c r="Z22" i="97"/>
  <c r="P103" i="92"/>
  <c r="S87" i="92"/>
  <c r="S84" i="92"/>
  <c r="S77" i="92"/>
  <c r="S76" i="92"/>
  <c r="X74" i="92"/>
  <c r="P74" i="92"/>
  <c r="X73" i="92"/>
  <c r="R73" i="92"/>
  <c r="Q73" i="92"/>
  <c r="P73" i="92"/>
  <c r="X72" i="92"/>
  <c r="R72" i="92"/>
  <c r="Q72" i="92"/>
  <c r="P72" i="92"/>
  <c r="X71" i="92"/>
  <c r="R71" i="92"/>
  <c r="Q71" i="92"/>
  <c r="P71" i="92"/>
  <c r="X70" i="92"/>
  <c r="R70" i="92"/>
  <c r="Q70" i="92"/>
  <c r="P70" i="92"/>
  <c r="X69" i="92"/>
  <c r="R69" i="92"/>
  <c r="Q69" i="92"/>
  <c r="P69" i="92"/>
  <c r="X68" i="92"/>
  <c r="R68" i="92"/>
  <c r="Q68" i="92"/>
  <c r="P68" i="92"/>
  <c r="E19" i="95"/>
  <c r="X67" i="92"/>
  <c r="R67" i="92"/>
  <c r="Q67" i="92"/>
  <c r="P67" i="92"/>
  <c r="X66" i="92"/>
  <c r="R66" i="92"/>
  <c r="Q66" i="92"/>
  <c r="P66" i="92"/>
  <c r="X65" i="92"/>
  <c r="R65" i="92"/>
  <c r="Q65" i="92"/>
  <c r="P65" i="92"/>
  <c r="R34" i="92"/>
  <c r="L114" i="92"/>
  <c r="Q32" i="92"/>
  <c r="L113" i="92"/>
  <c r="M105" i="92"/>
  <c r="M950" i="94"/>
  <c r="L97" i="92"/>
  <c r="L918" i="94"/>
  <c r="K97" i="92"/>
  <c r="K918" i="94"/>
  <c r="J97" i="92"/>
  <c r="J918" i="94"/>
  <c r="I97" i="92"/>
  <c r="I918" i="94"/>
  <c r="H97" i="92"/>
  <c r="H918" i="94"/>
  <c r="G97" i="92"/>
  <c r="G918" i="94"/>
  <c r="F97" i="92"/>
  <c r="F918" i="94"/>
  <c r="E97" i="92"/>
  <c r="E918" i="94"/>
  <c r="D97" i="92"/>
  <c r="D918" i="94"/>
  <c r="L96" i="92"/>
  <c r="L905" i="94"/>
  <c r="K96" i="92"/>
  <c r="K905" i="94"/>
  <c r="J96" i="92"/>
  <c r="J905" i="94"/>
  <c r="I96" i="92"/>
  <c r="I905" i="94"/>
  <c r="H96" i="92"/>
  <c r="H905" i="94"/>
  <c r="G96" i="92"/>
  <c r="G905" i="94"/>
  <c r="F96" i="92"/>
  <c r="F905" i="94"/>
  <c r="E96" i="92"/>
  <c r="D96" i="92"/>
  <c r="D905" i="94"/>
  <c r="L95" i="92"/>
  <c r="L892" i="94"/>
  <c r="K95" i="92"/>
  <c r="J95" i="92"/>
  <c r="J892" i="94"/>
  <c r="I95" i="92"/>
  <c r="I892" i="94"/>
  <c r="H95" i="92"/>
  <c r="H892" i="94"/>
  <c r="G95" i="92"/>
  <c r="G892" i="94"/>
  <c r="F95" i="92"/>
  <c r="F892" i="94"/>
  <c r="E95" i="92"/>
  <c r="E892" i="94"/>
  <c r="D95" i="92"/>
  <c r="D892" i="94"/>
  <c r="L94" i="92"/>
  <c r="L879" i="94"/>
  <c r="J94" i="92"/>
  <c r="J879" i="94"/>
  <c r="I94" i="92"/>
  <c r="I879" i="94"/>
  <c r="H94" i="92"/>
  <c r="H879" i="94"/>
  <c r="G94" i="92"/>
  <c r="G879" i="94"/>
  <c r="F94" i="92"/>
  <c r="F879" i="94"/>
  <c r="E94" i="92"/>
  <c r="E879" i="94"/>
  <c r="D94" i="92"/>
  <c r="D879" i="94"/>
  <c r="L93" i="92"/>
  <c r="L866" i="94"/>
  <c r="K93" i="92"/>
  <c r="K866" i="94"/>
  <c r="J93" i="92"/>
  <c r="J866" i="94"/>
  <c r="I93" i="92"/>
  <c r="I866" i="94"/>
  <c r="H93" i="92"/>
  <c r="H866" i="94"/>
  <c r="G93" i="92"/>
  <c r="F93" i="92"/>
  <c r="F866" i="94"/>
  <c r="E93" i="92"/>
  <c r="E866" i="94"/>
  <c r="D93" i="92"/>
  <c r="D866" i="94"/>
  <c r="L88" i="92"/>
  <c r="L825" i="94"/>
  <c r="K88" i="92"/>
  <c r="J88" i="92"/>
  <c r="J825" i="94"/>
  <c r="I88" i="92"/>
  <c r="H88" i="92"/>
  <c r="G88" i="92"/>
  <c r="F88" i="92"/>
  <c r="D65" i="91"/>
  <c r="E88" i="92"/>
  <c r="E825" i="94"/>
  <c r="D88" i="92"/>
  <c r="L87" i="92"/>
  <c r="K87" i="92"/>
  <c r="K812" i="94"/>
  <c r="J87" i="92"/>
  <c r="J812" i="94"/>
  <c r="I87" i="92"/>
  <c r="I812" i="94"/>
  <c r="H87" i="92"/>
  <c r="H812" i="94"/>
  <c r="G87" i="92"/>
  <c r="G812" i="94"/>
  <c r="F87" i="92"/>
  <c r="D64" i="91"/>
  <c r="E87" i="92"/>
  <c r="E812" i="94"/>
  <c r="D87" i="92"/>
  <c r="D812" i="94"/>
  <c r="L83" i="92"/>
  <c r="L784" i="94"/>
  <c r="K83" i="92"/>
  <c r="K784" i="94"/>
  <c r="J83" i="92"/>
  <c r="J784" i="94"/>
  <c r="I83" i="92"/>
  <c r="H83" i="92"/>
  <c r="H784" i="94"/>
  <c r="G83" i="92"/>
  <c r="G784" i="94"/>
  <c r="F83" i="92"/>
  <c r="F784" i="94"/>
  <c r="E83" i="92"/>
  <c r="E784" i="94"/>
  <c r="D83" i="92"/>
  <c r="D784" i="94"/>
  <c r="L82" i="92"/>
  <c r="L771" i="94"/>
  <c r="K82" i="92"/>
  <c r="K771" i="94"/>
  <c r="J82" i="92"/>
  <c r="J771" i="94"/>
  <c r="I82" i="92"/>
  <c r="I771" i="94"/>
  <c r="H82" i="92"/>
  <c r="H771" i="94"/>
  <c r="G82" i="92"/>
  <c r="G771" i="94"/>
  <c r="F82" i="92"/>
  <c r="E82" i="92"/>
  <c r="E771" i="94"/>
  <c r="D82" i="92"/>
  <c r="D771" i="94"/>
  <c r="L81" i="92"/>
  <c r="L758" i="94"/>
  <c r="K81" i="92"/>
  <c r="K758" i="94"/>
  <c r="J81" i="92"/>
  <c r="J758" i="94"/>
  <c r="I81" i="92"/>
  <c r="H81" i="92"/>
  <c r="H758" i="94"/>
  <c r="G81" i="92"/>
  <c r="F81" i="92"/>
  <c r="F758" i="94"/>
  <c r="E81" i="92"/>
  <c r="E758" i="94"/>
  <c r="D81" i="92"/>
  <c r="D758" i="94"/>
  <c r="L80" i="92"/>
  <c r="L745" i="94"/>
  <c r="K80" i="92"/>
  <c r="J80" i="92"/>
  <c r="J745" i="94"/>
  <c r="I80" i="92"/>
  <c r="I745" i="94"/>
  <c r="H80" i="92"/>
  <c r="G80" i="92"/>
  <c r="G745" i="94"/>
  <c r="F80" i="92"/>
  <c r="D57" i="91"/>
  <c r="E80" i="92"/>
  <c r="E745" i="94"/>
  <c r="D80" i="92"/>
  <c r="L76" i="92"/>
  <c r="L717" i="94"/>
  <c r="K76" i="92"/>
  <c r="K717" i="94"/>
  <c r="J76" i="92"/>
  <c r="J717" i="94"/>
  <c r="I76" i="92"/>
  <c r="I717" i="94"/>
  <c r="H76" i="92"/>
  <c r="H717" i="94"/>
  <c r="G76" i="92"/>
  <c r="G717" i="94"/>
  <c r="F76" i="92"/>
  <c r="E76" i="92"/>
  <c r="D76" i="92"/>
  <c r="L75" i="92"/>
  <c r="L704" i="94"/>
  <c r="K75" i="92"/>
  <c r="K704" i="94"/>
  <c r="J75" i="92"/>
  <c r="I75" i="92"/>
  <c r="I704" i="94"/>
  <c r="H75" i="92"/>
  <c r="H704" i="94"/>
  <c r="G75" i="92"/>
  <c r="G704" i="94"/>
  <c r="F75" i="92"/>
  <c r="F704" i="94"/>
  <c r="E75" i="92"/>
  <c r="E704" i="94"/>
  <c r="D75" i="92"/>
  <c r="D704" i="94"/>
  <c r="L74" i="92"/>
  <c r="L691" i="94"/>
  <c r="K74" i="92"/>
  <c r="J74" i="92"/>
  <c r="J691" i="94"/>
  <c r="I74" i="92"/>
  <c r="I691" i="94"/>
  <c r="H74" i="92"/>
  <c r="G74" i="92"/>
  <c r="G691" i="94"/>
  <c r="F74" i="92"/>
  <c r="E74" i="92"/>
  <c r="E691" i="94"/>
  <c r="D74" i="92"/>
  <c r="L73" i="92"/>
  <c r="L678" i="94"/>
  <c r="K73" i="92"/>
  <c r="K678" i="94"/>
  <c r="J73" i="92"/>
  <c r="J678" i="94"/>
  <c r="I73" i="92"/>
  <c r="H73" i="92"/>
  <c r="H678" i="94"/>
  <c r="G73" i="92"/>
  <c r="G678" i="94"/>
  <c r="F73" i="92"/>
  <c r="F678" i="94"/>
  <c r="E73" i="92"/>
  <c r="E678" i="94"/>
  <c r="D73" i="92"/>
  <c r="D678" i="94"/>
  <c r="L72" i="92"/>
  <c r="L665" i="94"/>
  <c r="K72" i="92"/>
  <c r="K665" i="94"/>
  <c r="J72" i="92"/>
  <c r="J665" i="94"/>
  <c r="I72" i="92"/>
  <c r="I665" i="94"/>
  <c r="H72" i="92"/>
  <c r="H665" i="94"/>
  <c r="G72" i="92"/>
  <c r="G665" i="94"/>
  <c r="F72" i="92"/>
  <c r="E72" i="92"/>
  <c r="E665" i="94"/>
  <c r="D72" i="92"/>
  <c r="D665" i="94"/>
  <c r="L71" i="92"/>
  <c r="L652" i="94"/>
  <c r="K71" i="92"/>
  <c r="K652" i="94"/>
  <c r="J71" i="92"/>
  <c r="I71" i="92"/>
  <c r="I652" i="94"/>
  <c r="H71" i="92"/>
  <c r="H652" i="94"/>
  <c r="G71" i="92"/>
  <c r="G652" i="94"/>
  <c r="F71" i="92"/>
  <c r="E71" i="92"/>
  <c r="D71" i="92"/>
  <c r="D652" i="94"/>
  <c r="L70" i="92"/>
  <c r="K70" i="92"/>
  <c r="K639" i="94"/>
  <c r="J70" i="92"/>
  <c r="J639" i="94"/>
  <c r="I70" i="92"/>
  <c r="I639" i="94"/>
  <c r="H70" i="92"/>
  <c r="H639" i="94"/>
  <c r="G70" i="92"/>
  <c r="G639" i="94"/>
  <c r="F70" i="92"/>
  <c r="E70" i="92"/>
  <c r="E639" i="94"/>
  <c r="D70" i="92"/>
  <c r="L69" i="92"/>
  <c r="K69" i="92"/>
  <c r="K626" i="94"/>
  <c r="J69" i="92"/>
  <c r="J626" i="94"/>
  <c r="I69" i="92"/>
  <c r="I626" i="94"/>
  <c r="H69" i="92"/>
  <c r="H626" i="94"/>
  <c r="G69" i="92"/>
  <c r="G626" i="94"/>
  <c r="F69" i="92"/>
  <c r="F626" i="94"/>
  <c r="E69" i="92"/>
  <c r="D69" i="92"/>
  <c r="L68" i="92"/>
  <c r="L613" i="94"/>
  <c r="K68" i="92"/>
  <c r="K613" i="94"/>
  <c r="J68" i="92"/>
  <c r="J613" i="94"/>
  <c r="I68" i="92"/>
  <c r="H68" i="92"/>
  <c r="H613" i="94"/>
  <c r="G68" i="92"/>
  <c r="G613" i="94"/>
  <c r="F68" i="92"/>
  <c r="F613" i="94"/>
  <c r="E68" i="92"/>
  <c r="D68" i="92"/>
  <c r="D613" i="94"/>
  <c r="L67" i="92"/>
  <c r="L600" i="94"/>
  <c r="K67" i="92"/>
  <c r="K600" i="94"/>
  <c r="J67" i="92"/>
  <c r="J600" i="94"/>
  <c r="I67" i="92"/>
  <c r="I600" i="94"/>
  <c r="H67" i="92"/>
  <c r="G67" i="92"/>
  <c r="G600" i="94"/>
  <c r="F67" i="92"/>
  <c r="E67" i="92"/>
  <c r="E600" i="94"/>
  <c r="D67" i="92"/>
  <c r="D600" i="94"/>
  <c r="L66" i="92"/>
  <c r="L587" i="94"/>
  <c r="K66" i="92"/>
  <c r="K587" i="94"/>
  <c r="J66" i="92"/>
  <c r="J587" i="94"/>
  <c r="I66" i="92"/>
  <c r="I587" i="94"/>
  <c r="H66" i="92"/>
  <c r="H587" i="94"/>
  <c r="G66" i="92"/>
  <c r="F66" i="92"/>
  <c r="E66" i="92"/>
  <c r="D66" i="92"/>
  <c r="D587" i="94"/>
  <c r="L65" i="92"/>
  <c r="L574" i="94"/>
  <c r="K65" i="92"/>
  <c r="K574" i="94"/>
  <c r="J65" i="92"/>
  <c r="J574" i="94"/>
  <c r="I65" i="92"/>
  <c r="H65" i="92"/>
  <c r="H574" i="94"/>
  <c r="G65" i="92"/>
  <c r="G574" i="94"/>
  <c r="F65" i="92"/>
  <c r="E65" i="92"/>
  <c r="D65" i="92"/>
  <c r="D574" i="94"/>
  <c r="L61" i="92"/>
  <c r="L534" i="94"/>
  <c r="K61" i="92"/>
  <c r="K534" i="94"/>
  <c r="J61" i="92"/>
  <c r="J534" i="94"/>
  <c r="I61" i="92"/>
  <c r="H61" i="92"/>
  <c r="H534" i="94"/>
  <c r="G61" i="92"/>
  <c r="G534" i="94"/>
  <c r="F61" i="92"/>
  <c r="F534" i="94"/>
  <c r="E61" i="92"/>
  <c r="D61" i="92"/>
  <c r="L60" i="92"/>
  <c r="L521" i="94"/>
  <c r="K60" i="92"/>
  <c r="J60" i="92"/>
  <c r="J521" i="94"/>
  <c r="I60" i="92"/>
  <c r="I521" i="94"/>
  <c r="H60" i="92"/>
  <c r="H521" i="94"/>
  <c r="G60" i="92"/>
  <c r="G521" i="94"/>
  <c r="F60" i="92"/>
  <c r="E60" i="92"/>
  <c r="E521" i="94"/>
  <c r="D60" i="92"/>
  <c r="D521" i="94"/>
  <c r="L59" i="92"/>
  <c r="L508" i="94"/>
  <c r="K59" i="92"/>
  <c r="J59" i="92"/>
  <c r="J508" i="94"/>
  <c r="I59" i="92"/>
  <c r="I508" i="94"/>
  <c r="H59" i="92"/>
  <c r="G59" i="92"/>
  <c r="G508" i="94"/>
  <c r="F59" i="92"/>
  <c r="E59" i="92"/>
  <c r="E508" i="94"/>
  <c r="D59" i="92"/>
  <c r="D508" i="94"/>
  <c r="L58" i="92"/>
  <c r="K58" i="92"/>
  <c r="K495" i="94"/>
  <c r="J58" i="92"/>
  <c r="I58" i="92"/>
  <c r="I495" i="94"/>
  <c r="H58" i="92"/>
  <c r="G58" i="92"/>
  <c r="G495" i="94"/>
  <c r="F58" i="92"/>
  <c r="E58" i="92"/>
  <c r="E495" i="94"/>
  <c r="D58" i="92"/>
  <c r="D495" i="94"/>
  <c r="L57" i="92"/>
  <c r="L482" i="94"/>
  <c r="K57" i="92"/>
  <c r="K482" i="94"/>
  <c r="J57" i="92"/>
  <c r="J482" i="94"/>
  <c r="I57" i="92"/>
  <c r="I482" i="94"/>
  <c r="H57" i="92"/>
  <c r="H482" i="94"/>
  <c r="G57" i="92"/>
  <c r="G482" i="94"/>
  <c r="F57" i="92"/>
  <c r="E57" i="92"/>
  <c r="E482" i="94"/>
  <c r="D57" i="92"/>
  <c r="D482" i="94"/>
  <c r="L56" i="92"/>
  <c r="L469" i="94"/>
  <c r="K56" i="92"/>
  <c r="K469" i="94"/>
  <c r="J56" i="92"/>
  <c r="J469" i="94"/>
  <c r="I56" i="92"/>
  <c r="I469" i="94"/>
  <c r="H56" i="92"/>
  <c r="H469" i="94"/>
  <c r="G56" i="92"/>
  <c r="F56" i="92"/>
  <c r="E56" i="92"/>
  <c r="E469" i="94"/>
  <c r="D56" i="92"/>
  <c r="D469" i="94"/>
  <c r="L53" i="92"/>
  <c r="L454" i="94"/>
  <c r="K53" i="92"/>
  <c r="K454" i="94"/>
  <c r="J53" i="92"/>
  <c r="J454" i="94"/>
  <c r="I53" i="92"/>
  <c r="I454" i="94"/>
  <c r="H53" i="92"/>
  <c r="G53" i="92"/>
  <c r="G454" i="94"/>
  <c r="F53" i="92"/>
  <c r="F454" i="94"/>
  <c r="E53" i="92"/>
  <c r="E454" i="94"/>
  <c r="D53" i="92"/>
  <c r="D454" i="94"/>
  <c r="L50" i="92"/>
  <c r="L439" i="94"/>
  <c r="K50" i="92"/>
  <c r="K439" i="94"/>
  <c r="J50" i="92"/>
  <c r="I50" i="92"/>
  <c r="I439" i="94"/>
  <c r="H50" i="92"/>
  <c r="H439" i="94"/>
  <c r="G50" i="92"/>
  <c r="G439" i="94"/>
  <c r="F50" i="92"/>
  <c r="D26" i="91"/>
  <c r="E76" i="91"/>
  <c r="E50" i="92"/>
  <c r="E439" i="94"/>
  <c r="D50" i="92"/>
  <c r="D439" i="94"/>
  <c r="L47" i="92"/>
  <c r="L424" i="94"/>
  <c r="K47" i="92"/>
  <c r="K424" i="94"/>
  <c r="J47" i="92"/>
  <c r="I47" i="92"/>
  <c r="I424" i="94"/>
  <c r="H47" i="92"/>
  <c r="H424" i="94"/>
  <c r="G47" i="92"/>
  <c r="G424" i="94"/>
  <c r="F47" i="92"/>
  <c r="F424" i="94"/>
  <c r="E47" i="92"/>
  <c r="E424" i="94"/>
  <c r="D47" i="92"/>
  <c r="D424" i="94"/>
  <c r="L41" i="92"/>
  <c r="L382" i="94"/>
  <c r="K41" i="92"/>
  <c r="K382" i="94"/>
  <c r="J41" i="92"/>
  <c r="I41" i="92"/>
  <c r="I382" i="94"/>
  <c r="H41" i="92"/>
  <c r="H382" i="94"/>
  <c r="G41" i="92"/>
  <c r="G382" i="94"/>
  <c r="F41" i="92"/>
  <c r="F382" i="94"/>
  <c r="E41" i="92"/>
  <c r="E382" i="94"/>
  <c r="D41" i="92"/>
  <c r="D382" i="94"/>
  <c r="L40" i="92"/>
  <c r="L369" i="94"/>
  <c r="K40" i="92"/>
  <c r="K369" i="94"/>
  <c r="J40" i="92"/>
  <c r="J369" i="94"/>
  <c r="I40" i="92"/>
  <c r="H40" i="92"/>
  <c r="H369" i="94"/>
  <c r="G40" i="92"/>
  <c r="G369" i="94"/>
  <c r="F40" i="92"/>
  <c r="F369" i="94"/>
  <c r="E40" i="92"/>
  <c r="E369" i="94"/>
  <c r="D40" i="92"/>
  <c r="D369" i="94"/>
  <c r="L39" i="92"/>
  <c r="L356" i="94"/>
  <c r="K39" i="92"/>
  <c r="K356" i="94"/>
  <c r="J39" i="92"/>
  <c r="J356" i="94"/>
  <c r="I39" i="92"/>
  <c r="I356" i="94"/>
  <c r="H39" i="92"/>
  <c r="H356" i="94"/>
  <c r="G39" i="92"/>
  <c r="G356" i="94"/>
  <c r="F39" i="92"/>
  <c r="F356" i="94"/>
  <c r="E39" i="92"/>
  <c r="D39" i="92"/>
  <c r="D356" i="94"/>
  <c r="L38" i="92"/>
  <c r="L343" i="94"/>
  <c r="K38" i="92"/>
  <c r="K343" i="94"/>
  <c r="J38" i="92"/>
  <c r="J343" i="94"/>
  <c r="I38" i="92"/>
  <c r="I343" i="94"/>
  <c r="H38" i="92"/>
  <c r="H343" i="94"/>
  <c r="G38" i="92"/>
  <c r="G343" i="94"/>
  <c r="F38" i="92"/>
  <c r="F343" i="94"/>
  <c r="E38" i="92"/>
  <c r="E343" i="94"/>
  <c r="D38" i="92"/>
  <c r="D343" i="94"/>
  <c r="L37" i="92"/>
  <c r="L330" i="94"/>
  <c r="K37" i="92"/>
  <c r="J37" i="92"/>
  <c r="J330" i="94"/>
  <c r="I37" i="92"/>
  <c r="I330" i="94"/>
  <c r="H37" i="92"/>
  <c r="H330" i="94"/>
  <c r="G37" i="92"/>
  <c r="F37" i="92"/>
  <c r="F330" i="94"/>
  <c r="E37" i="92"/>
  <c r="D37" i="92"/>
  <c r="L36" i="92"/>
  <c r="K36" i="92"/>
  <c r="K317" i="94"/>
  <c r="J36" i="92"/>
  <c r="J317" i="94"/>
  <c r="I36" i="92"/>
  <c r="I317" i="94"/>
  <c r="H36" i="92"/>
  <c r="G36" i="92"/>
  <c r="G317" i="94"/>
  <c r="F36" i="92"/>
  <c r="F317" i="94"/>
  <c r="E36" i="92"/>
  <c r="E317" i="94"/>
  <c r="D36" i="92"/>
  <c r="D317" i="94"/>
  <c r="L35" i="92"/>
  <c r="L304" i="94"/>
  <c r="K35" i="92"/>
  <c r="K304" i="94"/>
  <c r="J35" i="92"/>
  <c r="J304" i="94"/>
  <c r="I35" i="92"/>
  <c r="I304" i="94"/>
  <c r="H35" i="92"/>
  <c r="H304" i="94"/>
  <c r="G35" i="92"/>
  <c r="G304" i="94"/>
  <c r="F35" i="92"/>
  <c r="F304" i="94"/>
  <c r="E35" i="92"/>
  <c r="D35" i="92"/>
  <c r="D304" i="94"/>
  <c r="L34" i="92"/>
  <c r="L291" i="94"/>
  <c r="K34" i="92"/>
  <c r="K291" i="94"/>
  <c r="J34" i="92"/>
  <c r="I34" i="92"/>
  <c r="I291" i="94"/>
  <c r="H34" i="92"/>
  <c r="H291" i="94"/>
  <c r="G34" i="92"/>
  <c r="G291" i="94"/>
  <c r="F34" i="92"/>
  <c r="E34" i="92"/>
  <c r="E291" i="94"/>
  <c r="D34" i="92"/>
  <c r="D291" i="94"/>
  <c r="L33" i="92"/>
  <c r="L278" i="94"/>
  <c r="K33" i="92"/>
  <c r="J33" i="92"/>
  <c r="J278" i="94"/>
  <c r="I33" i="92"/>
  <c r="I278" i="94"/>
  <c r="H33" i="92"/>
  <c r="H278" i="94"/>
  <c r="G33" i="92"/>
  <c r="F33" i="92"/>
  <c r="F278" i="94"/>
  <c r="E33" i="92"/>
  <c r="E278" i="94"/>
  <c r="D33" i="92"/>
  <c r="D278" i="94"/>
  <c r="L32" i="92"/>
  <c r="K32" i="92"/>
  <c r="K265" i="94"/>
  <c r="J32" i="92"/>
  <c r="J265" i="94"/>
  <c r="I32" i="92"/>
  <c r="I265" i="94"/>
  <c r="H32" i="92"/>
  <c r="H265" i="94"/>
  <c r="G32" i="92"/>
  <c r="G265" i="94"/>
  <c r="F32" i="92"/>
  <c r="F265" i="94"/>
  <c r="E32" i="92"/>
  <c r="E265" i="94"/>
  <c r="D32" i="92"/>
  <c r="D265" i="94"/>
  <c r="L28" i="92"/>
  <c r="L225" i="94"/>
  <c r="K28" i="92"/>
  <c r="K225" i="94"/>
  <c r="J28" i="92"/>
  <c r="J225" i="94"/>
  <c r="I28" i="92"/>
  <c r="I225" i="94"/>
  <c r="H28" i="92"/>
  <c r="H225" i="94"/>
  <c r="G28" i="92"/>
  <c r="G225" i="94"/>
  <c r="F28" i="92"/>
  <c r="F225" i="94"/>
  <c r="E28" i="92"/>
  <c r="D28" i="92"/>
  <c r="D225" i="94"/>
  <c r="L27" i="92"/>
  <c r="L212" i="94"/>
  <c r="K27" i="92"/>
  <c r="K212" i="94"/>
  <c r="J27" i="92"/>
  <c r="J212" i="94"/>
  <c r="I27" i="92"/>
  <c r="I212" i="94"/>
  <c r="H27" i="92"/>
  <c r="H212" i="94"/>
  <c r="G27" i="92"/>
  <c r="F27" i="92"/>
  <c r="F212" i="94"/>
  <c r="E27" i="92"/>
  <c r="E212" i="94"/>
  <c r="D27" i="92"/>
  <c r="D212" i="94"/>
  <c r="L26" i="92"/>
  <c r="K26" i="92"/>
  <c r="J26" i="92"/>
  <c r="I26" i="92"/>
  <c r="I199" i="94"/>
  <c r="H26" i="92"/>
  <c r="H199" i="94"/>
  <c r="G26" i="92"/>
  <c r="G199" i="94"/>
  <c r="F26" i="92"/>
  <c r="F199" i="94"/>
  <c r="E26" i="92"/>
  <c r="E199" i="94"/>
  <c r="D26" i="92"/>
  <c r="D199" i="94"/>
  <c r="L25" i="92"/>
  <c r="L186" i="94"/>
  <c r="K25" i="92"/>
  <c r="K186" i="94"/>
  <c r="J25" i="92"/>
  <c r="J186" i="94"/>
  <c r="I25" i="92"/>
  <c r="I186" i="94"/>
  <c r="H25" i="92"/>
  <c r="G25" i="92"/>
  <c r="G186" i="94"/>
  <c r="F25" i="92"/>
  <c r="F186" i="94"/>
  <c r="E25" i="92"/>
  <c r="E186" i="94"/>
  <c r="D25" i="92"/>
  <c r="L24" i="92"/>
  <c r="L173" i="94"/>
  <c r="K24" i="92"/>
  <c r="K173" i="94"/>
  <c r="J24" i="92"/>
  <c r="J173" i="94"/>
  <c r="I24" i="92"/>
  <c r="H24" i="92"/>
  <c r="H173" i="94"/>
  <c r="G24" i="92"/>
  <c r="G173" i="94"/>
  <c r="F24" i="92"/>
  <c r="F173" i="94"/>
  <c r="E24" i="92"/>
  <c r="E173" i="94"/>
  <c r="D24" i="92"/>
  <c r="D173" i="94"/>
  <c r="L23" i="92"/>
  <c r="L160" i="94"/>
  <c r="K23" i="92"/>
  <c r="J23" i="92"/>
  <c r="I23" i="92"/>
  <c r="I160" i="94"/>
  <c r="H23" i="92"/>
  <c r="H160" i="94"/>
  <c r="G23" i="92"/>
  <c r="G160" i="94"/>
  <c r="F23" i="92"/>
  <c r="E23" i="92"/>
  <c r="E160" i="94"/>
  <c r="D23" i="92"/>
  <c r="D160" i="94"/>
  <c r="L22" i="92"/>
  <c r="L147" i="94"/>
  <c r="K22" i="92"/>
  <c r="J22" i="92"/>
  <c r="J147" i="94"/>
  <c r="I22" i="92"/>
  <c r="I147" i="94"/>
  <c r="H22" i="92"/>
  <c r="H147" i="94"/>
  <c r="G22" i="92"/>
  <c r="F22" i="92"/>
  <c r="F147" i="94"/>
  <c r="E22" i="92"/>
  <c r="E147" i="94"/>
  <c r="D22" i="92"/>
  <c r="D147" i="94"/>
  <c r="L21" i="92"/>
  <c r="L134" i="94"/>
  <c r="K21" i="92"/>
  <c r="K134" i="94"/>
  <c r="J21" i="92"/>
  <c r="J134" i="94"/>
  <c r="I21" i="92"/>
  <c r="I134" i="94"/>
  <c r="H21" i="92"/>
  <c r="G21" i="92"/>
  <c r="G134" i="94"/>
  <c r="F21" i="92"/>
  <c r="F134" i="94"/>
  <c r="E21" i="92"/>
  <c r="E134" i="94"/>
  <c r="D21" i="92"/>
  <c r="L20" i="92"/>
  <c r="L121" i="94"/>
  <c r="I20" i="92"/>
  <c r="I121" i="94"/>
  <c r="H20" i="92"/>
  <c r="H121" i="94"/>
  <c r="G20" i="92"/>
  <c r="F20" i="92"/>
  <c r="F121" i="94"/>
  <c r="E20" i="92"/>
  <c r="E121" i="94"/>
  <c r="D20" i="92"/>
  <c r="D121" i="94"/>
  <c r="J19" i="92"/>
  <c r="J108" i="94"/>
  <c r="H19" i="92"/>
  <c r="H108" i="94"/>
  <c r="G19" i="92"/>
  <c r="F19" i="92"/>
  <c r="F108" i="94"/>
  <c r="E19" i="92"/>
  <c r="D19" i="92"/>
  <c r="D108" i="94"/>
  <c r="L14" i="92"/>
  <c r="L67" i="94"/>
  <c r="K14" i="92"/>
  <c r="K67" i="94"/>
  <c r="J14" i="92"/>
  <c r="I14" i="92"/>
  <c r="I67" i="94"/>
  <c r="H14" i="92"/>
  <c r="H67" i="94"/>
  <c r="G14" i="92"/>
  <c r="G67" i="94"/>
  <c r="F14" i="92"/>
  <c r="E14" i="92"/>
  <c r="D14" i="92"/>
  <c r="D67" i="94"/>
  <c r="L13" i="92"/>
  <c r="L54" i="94"/>
  <c r="K13" i="92"/>
  <c r="K54" i="94"/>
  <c r="J13" i="92"/>
  <c r="J54" i="94"/>
  <c r="I13" i="92"/>
  <c r="I54" i="94"/>
  <c r="H13" i="92"/>
  <c r="H54" i="94"/>
  <c r="G13" i="92"/>
  <c r="F13" i="92"/>
  <c r="F54" i="94"/>
  <c r="E13" i="92"/>
  <c r="E54" i="94"/>
  <c r="D13" i="92"/>
  <c r="D41" i="94"/>
  <c r="L11" i="92"/>
  <c r="L28" i="94"/>
  <c r="K11" i="92"/>
  <c r="K28" i="94"/>
  <c r="J11" i="92"/>
  <c r="J28" i="94"/>
  <c r="I11" i="92"/>
  <c r="I28" i="94"/>
  <c r="H11" i="92"/>
  <c r="H28" i="94"/>
  <c r="G11" i="92"/>
  <c r="G28" i="94"/>
  <c r="F11" i="92"/>
  <c r="E11" i="92"/>
  <c r="E28" i="94"/>
  <c r="D11" i="92"/>
  <c r="D28" i="94"/>
  <c r="L10" i="92"/>
  <c r="K10" i="92"/>
  <c r="K15" i="94"/>
  <c r="J10" i="92"/>
  <c r="J15" i="94"/>
  <c r="I10" i="92"/>
  <c r="I15" i="94"/>
  <c r="H10" i="92"/>
  <c r="H15" i="94"/>
  <c r="G10" i="92"/>
  <c r="G15" i="94"/>
  <c r="F10" i="92"/>
  <c r="D10" i="91"/>
  <c r="E10" i="92"/>
  <c r="E15" i="94"/>
  <c r="D10" i="92"/>
  <c r="D15" i="94"/>
  <c r="B1" i="89"/>
  <c r="M105" i="87"/>
  <c r="U103" i="87"/>
  <c r="AA21" i="97"/>
  <c r="R103" i="87"/>
  <c r="P103" i="87"/>
  <c r="Q22" i="74"/>
  <c r="L97" i="87"/>
  <c r="L913" i="94"/>
  <c r="K97" i="87"/>
  <c r="K913" i="94"/>
  <c r="J97" i="87"/>
  <c r="J913" i="94"/>
  <c r="I97" i="87"/>
  <c r="I913" i="94"/>
  <c r="H97" i="87"/>
  <c r="H913" i="94"/>
  <c r="G97" i="87"/>
  <c r="G913" i="94"/>
  <c r="F97" i="87"/>
  <c r="F913" i="94"/>
  <c r="E97" i="87"/>
  <c r="E913" i="94"/>
  <c r="D97" i="87"/>
  <c r="D913" i="94"/>
  <c r="L96" i="87"/>
  <c r="L900" i="94"/>
  <c r="K96" i="87"/>
  <c r="K900" i="94"/>
  <c r="J96" i="87"/>
  <c r="J900" i="94"/>
  <c r="I96" i="87"/>
  <c r="I900" i="94"/>
  <c r="H96" i="87"/>
  <c r="H900" i="94"/>
  <c r="G96" i="87"/>
  <c r="G900" i="94"/>
  <c r="F96" i="87"/>
  <c r="F900" i="94"/>
  <c r="E96" i="87"/>
  <c r="E900" i="94"/>
  <c r="D96" i="87"/>
  <c r="L95" i="87"/>
  <c r="L887" i="94"/>
  <c r="K95" i="87"/>
  <c r="K887" i="94"/>
  <c r="J95" i="87"/>
  <c r="J887" i="94"/>
  <c r="I95" i="87"/>
  <c r="I887" i="94"/>
  <c r="H95" i="87"/>
  <c r="H887" i="94"/>
  <c r="G95" i="87"/>
  <c r="G887" i="94"/>
  <c r="F95" i="87"/>
  <c r="F887" i="94"/>
  <c r="E95" i="87"/>
  <c r="D95" i="87"/>
  <c r="D887" i="94"/>
  <c r="L94" i="87"/>
  <c r="L874" i="94"/>
  <c r="K94" i="87"/>
  <c r="K874" i="94"/>
  <c r="J94" i="87"/>
  <c r="J874" i="94"/>
  <c r="I94" i="87"/>
  <c r="I874" i="94"/>
  <c r="H94" i="87"/>
  <c r="H874" i="94"/>
  <c r="G94" i="87"/>
  <c r="G874" i="94"/>
  <c r="F94" i="87"/>
  <c r="E94" i="87"/>
  <c r="E874" i="94"/>
  <c r="D94" i="87"/>
  <c r="D874" i="94"/>
  <c r="L93" i="87"/>
  <c r="L861" i="94"/>
  <c r="K93" i="87"/>
  <c r="K861" i="94"/>
  <c r="J93" i="87"/>
  <c r="J861" i="94"/>
  <c r="I93" i="87"/>
  <c r="I861" i="94"/>
  <c r="H93" i="87"/>
  <c r="H861" i="94"/>
  <c r="G93" i="87"/>
  <c r="G861" i="94"/>
  <c r="F93" i="87"/>
  <c r="F861" i="94"/>
  <c r="E93" i="87"/>
  <c r="E861" i="94"/>
  <c r="D93" i="87"/>
  <c r="L88" i="87"/>
  <c r="K88" i="87"/>
  <c r="K820" i="94"/>
  <c r="J88" i="87"/>
  <c r="J820" i="94"/>
  <c r="I88" i="87"/>
  <c r="I820" i="94"/>
  <c r="H88" i="87"/>
  <c r="H820" i="94"/>
  <c r="G88" i="87"/>
  <c r="G820" i="94"/>
  <c r="F88" i="87"/>
  <c r="F820" i="94"/>
  <c r="E88" i="87"/>
  <c r="E820" i="94"/>
  <c r="D88" i="87"/>
  <c r="L121" i="87"/>
  <c r="L87" i="87"/>
  <c r="K87" i="87"/>
  <c r="J87" i="87"/>
  <c r="I87" i="87"/>
  <c r="H87" i="87"/>
  <c r="G87" i="87"/>
  <c r="F87" i="87"/>
  <c r="F807" i="94"/>
  <c r="E87" i="87"/>
  <c r="E807" i="94"/>
  <c r="D87" i="87"/>
  <c r="L83" i="87"/>
  <c r="L779" i="94"/>
  <c r="K83" i="87"/>
  <c r="K779" i="94"/>
  <c r="J83" i="87"/>
  <c r="I83" i="87"/>
  <c r="I779" i="94"/>
  <c r="H83" i="87"/>
  <c r="H779" i="94"/>
  <c r="G83" i="87"/>
  <c r="G779" i="94"/>
  <c r="F83" i="87"/>
  <c r="D60" i="86"/>
  <c r="E83" i="87"/>
  <c r="E779" i="94"/>
  <c r="D83" i="87"/>
  <c r="D779" i="94"/>
  <c r="L82" i="87"/>
  <c r="L766" i="94"/>
  <c r="K82" i="87"/>
  <c r="K766" i="94"/>
  <c r="J82" i="87"/>
  <c r="J766" i="94"/>
  <c r="I82" i="87"/>
  <c r="I766" i="94"/>
  <c r="H82" i="87"/>
  <c r="H766" i="94"/>
  <c r="G82" i="87"/>
  <c r="G766" i="94"/>
  <c r="F82" i="87"/>
  <c r="F766" i="94"/>
  <c r="E82" i="87"/>
  <c r="E766" i="94"/>
  <c r="D82" i="87"/>
  <c r="D766" i="94"/>
  <c r="L81" i="87"/>
  <c r="L753" i="94"/>
  <c r="K81" i="87"/>
  <c r="K753" i="94"/>
  <c r="J81" i="87"/>
  <c r="J753" i="94"/>
  <c r="I81" i="87"/>
  <c r="I753" i="94"/>
  <c r="H81" i="87"/>
  <c r="H753" i="94"/>
  <c r="G81" i="87"/>
  <c r="G753" i="94"/>
  <c r="F81" i="87"/>
  <c r="E81" i="87"/>
  <c r="E753" i="94"/>
  <c r="D81" i="87"/>
  <c r="L80" i="87"/>
  <c r="L740" i="94"/>
  <c r="K80" i="87"/>
  <c r="J80" i="87"/>
  <c r="J740" i="94"/>
  <c r="I80" i="87"/>
  <c r="I740" i="94"/>
  <c r="H80" i="87"/>
  <c r="H740" i="94"/>
  <c r="G80" i="87"/>
  <c r="F80" i="87"/>
  <c r="F740" i="94"/>
  <c r="E80" i="87"/>
  <c r="E740" i="94"/>
  <c r="D80" i="87"/>
  <c r="D740" i="94"/>
  <c r="S77" i="87"/>
  <c r="S76" i="87"/>
  <c r="L76" i="87"/>
  <c r="L712" i="94"/>
  <c r="K76" i="87"/>
  <c r="K712" i="94"/>
  <c r="J76" i="87"/>
  <c r="J712" i="94"/>
  <c r="I76" i="87"/>
  <c r="I712" i="94"/>
  <c r="H76" i="87"/>
  <c r="H712" i="94"/>
  <c r="G76" i="87"/>
  <c r="G712" i="94"/>
  <c r="F76" i="87"/>
  <c r="F712" i="94"/>
  <c r="E76" i="87"/>
  <c r="D76" i="87"/>
  <c r="D712" i="94"/>
  <c r="L75" i="87"/>
  <c r="L699" i="94"/>
  <c r="K75" i="87"/>
  <c r="K699" i="94"/>
  <c r="J75" i="87"/>
  <c r="J699" i="94"/>
  <c r="I75" i="87"/>
  <c r="I699" i="94"/>
  <c r="H75" i="87"/>
  <c r="H699" i="94"/>
  <c r="G75" i="87"/>
  <c r="G699" i="94"/>
  <c r="F75" i="87"/>
  <c r="F699" i="94"/>
  <c r="E75" i="87"/>
  <c r="E699" i="94"/>
  <c r="D75" i="87"/>
  <c r="X74" i="87"/>
  <c r="P74" i="87"/>
  <c r="L74" i="87"/>
  <c r="L686" i="94"/>
  <c r="K74" i="87"/>
  <c r="K686" i="94"/>
  <c r="J74" i="87"/>
  <c r="I74" i="87"/>
  <c r="I686" i="94"/>
  <c r="H74" i="87"/>
  <c r="H686" i="94"/>
  <c r="G74" i="87"/>
  <c r="G686" i="94"/>
  <c r="F74" i="87"/>
  <c r="E74" i="87"/>
  <c r="E686" i="94"/>
  <c r="D74" i="87"/>
  <c r="D686" i="94"/>
  <c r="X73" i="87"/>
  <c r="R73" i="87"/>
  <c r="Q73" i="87"/>
  <c r="P73" i="87"/>
  <c r="L73" i="87"/>
  <c r="L673" i="94"/>
  <c r="K73" i="87"/>
  <c r="K673" i="94"/>
  <c r="J73" i="87"/>
  <c r="J673" i="94"/>
  <c r="I73" i="87"/>
  <c r="I673" i="94"/>
  <c r="H73" i="87"/>
  <c r="H673" i="94"/>
  <c r="G73" i="87"/>
  <c r="G673" i="94"/>
  <c r="F73" i="87"/>
  <c r="E73" i="87"/>
  <c r="D73" i="87"/>
  <c r="D673" i="94"/>
  <c r="X72" i="87"/>
  <c r="R72" i="87"/>
  <c r="Q72" i="87"/>
  <c r="P72" i="87"/>
  <c r="L72" i="87"/>
  <c r="L660" i="94"/>
  <c r="K72" i="87"/>
  <c r="K660" i="94"/>
  <c r="J72" i="87"/>
  <c r="J660" i="94"/>
  <c r="I72" i="87"/>
  <c r="I660" i="94"/>
  <c r="H72" i="87"/>
  <c r="H660" i="94"/>
  <c r="G72" i="87"/>
  <c r="G660" i="94"/>
  <c r="F72" i="87"/>
  <c r="E72" i="87"/>
  <c r="E660" i="94"/>
  <c r="D72" i="87"/>
  <c r="X71" i="87"/>
  <c r="R71" i="87"/>
  <c r="Q71" i="87"/>
  <c r="P71" i="87"/>
  <c r="L71" i="87"/>
  <c r="L647" i="94"/>
  <c r="K71" i="87"/>
  <c r="K647" i="94"/>
  <c r="J71" i="87"/>
  <c r="J647" i="94"/>
  <c r="I71" i="87"/>
  <c r="I647" i="94"/>
  <c r="H71" i="87"/>
  <c r="H647" i="94"/>
  <c r="G71" i="87"/>
  <c r="G647" i="94"/>
  <c r="F71" i="87"/>
  <c r="D48" i="86"/>
  <c r="E71" i="87"/>
  <c r="D71" i="87"/>
  <c r="D647" i="94"/>
  <c r="X70" i="87"/>
  <c r="R70" i="87"/>
  <c r="Q70" i="87"/>
  <c r="P70" i="87"/>
  <c r="L70" i="87"/>
  <c r="K70" i="87"/>
  <c r="K634" i="94"/>
  <c r="J70" i="87"/>
  <c r="J634" i="94"/>
  <c r="I70" i="87"/>
  <c r="I634" i="94"/>
  <c r="H70" i="87"/>
  <c r="H634" i="94"/>
  <c r="G70" i="87"/>
  <c r="G634" i="94"/>
  <c r="F70" i="87"/>
  <c r="F634" i="94"/>
  <c r="E70" i="87"/>
  <c r="E634" i="94"/>
  <c r="D70" i="87"/>
  <c r="D634" i="94"/>
  <c r="X69" i="87"/>
  <c r="R69" i="87"/>
  <c r="Q69" i="87"/>
  <c r="P69" i="87"/>
  <c r="L69" i="87"/>
  <c r="L621" i="94"/>
  <c r="K69" i="87"/>
  <c r="K621" i="94"/>
  <c r="J69" i="87"/>
  <c r="J621" i="94"/>
  <c r="I69" i="87"/>
  <c r="I621" i="94"/>
  <c r="H69" i="87"/>
  <c r="H621" i="94"/>
  <c r="G69" i="87"/>
  <c r="G621" i="94"/>
  <c r="F69" i="87"/>
  <c r="D46" i="86"/>
  <c r="F621" i="94"/>
  <c r="E69" i="87"/>
  <c r="E621" i="94"/>
  <c r="D69" i="87"/>
  <c r="X68" i="87"/>
  <c r="R68" i="87"/>
  <c r="Q68" i="87"/>
  <c r="P68" i="87"/>
  <c r="E20" i="95"/>
  <c r="L68" i="87"/>
  <c r="L608" i="94"/>
  <c r="K68" i="87"/>
  <c r="K608" i="94"/>
  <c r="J68" i="87"/>
  <c r="J608" i="94"/>
  <c r="I68" i="87"/>
  <c r="I608" i="94"/>
  <c r="H68" i="87"/>
  <c r="H608" i="94"/>
  <c r="G68" i="87"/>
  <c r="G608" i="94"/>
  <c r="F68" i="87"/>
  <c r="D45" i="86"/>
  <c r="E68" i="87"/>
  <c r="E608" i="94"/>
  <c r="D68" i="87"/>
  <c r="X67" i="87"/>
  <c r="R67" i="87"/>
  <c r="Q67" i="87"/>
  <c r="P67" i="87"/>
  <c r="L67" i="87"/>
  <c r="L595" i="94"/>
  <c r="K67" i="87"/>
  <c r="K595" i="94"/>
  <c r="J67" i="87"/>
  <c r="I67" i="87"/>
  <c r="I595" i="94"/>
  <c r="H67" i="87"/>
  <c r="H595" i="94"/>
  <c r="G67" i="87"/>
  <c r="G595" i="94"/>
  <c r="F67" i="87"/>
  <c r="F595" i="94"/>
  <c r="E67" i="87"/>
  <c r="E595" i="94"/>
  <c r="D67" i="87"/>
  <c r="X66" i="87"/>
  <c r="R66" i="87"/>
  <c r="Q66" i="87"/>
  <c r="P66" i="87"/>
  <c r="L66" i="87"/>
  <c r="L582" i="94"/>
  <c r="K66" i="87"/>
  <c r="K582" i="94"/>
  <c r="J66" i="87"/>
  <c r="J582" i="94"/>
  <c r="I66" i="87"/>
  <c r="I582" i="94"/>
  <c r="H66" i="87"/>
  <c r="H582" i="94"/>
  <c r="G66" i="87"/>
  <c r="G582" i="94"/>
  <c r="F66" i="87"/>
  <c r="E66" i="87"/>
  <c r="D66" i="87"/>
  <c r="X65" i="87"/>
  <c r="R65" i="87"/>
  <c r="Q65" i="87"/>
  <c r="P65" i="87"/>
  <c r="L65" i="87"/>
  <c r="K65" i="87"/>
  <c r="K569" i="94"/>
  <c r="J65" i="87"/>
  <c r="J569" i="94"/>
  <c r="I65" i="87"/>
  <c r="H65" i="87"/>
  <c r="G65" i="87"/>
  <c r="G569" i="94"/>
  <c r="F65" i="87"/>
  <c r="E65" i="87"/>
  <c r="D65" i="87"/>
  <c r="D569" i="94"/>
  <c r="L61" i="87"/>
  <c r="L529" i="94"/>
  <c r="K61" i="87"/>
  <c r="K529" i="94"/>
  <c r="J61" i="87"/>
  <c r="J529" i="94"/>
  <c r="I61" i="87"/>
  <c r="I529" i="94"/>
  <c r="H61" i="87"/>
  <c r="H529" i="94"/>
  <c r="G61" i="87"/>
  <c r="G529" i="94"/>
  <c r="F61" i="87"/>
  <c r="F529" i="94"/>
  <c r="E61" i="87"/>
  <c r="D61" i="87"/>
  <c r="D529" i="94"/>
  <c r="L60" i="87"/>
  <c r="L516" i="94"/>
  <c r="K60" i="87"/>
  <c r="K516" i="94"/>
  <c r="J60" i="87"/>
  <c r="J516" i="94"/>
  <c r="I60" i="87"/>
  <c r="I516" i="94"/>
  <c r="H60" i="87"/>
  <c r="H516" i="94"/>
  <c r="G60" i="87"/>
  <c r="F60" i="87"/>
  <c r="F516" i="94"/>
  <c r="E60" i="87"/>
  <c r="E516" i="94"/>
  <c r="D60" i="87"/>
  <c r="D516" i="94"/>
  <c r="L59" i="87"/>
  <c r="L503" i="94"/>
  <c r="K59" i="87"/>
  <c r="K503" i="94"/>
  <c r="J59" i="87"/>
  <c r="J503" i="94"/>
  <c r="I59" i="87"/>
  <c r="I503" i="94"/>
  <c r="H59" i="87"/>
  <c r="H503" i="94"/>
  <c r="G59" i="87"/>
  <c r="G503" i="94"/>
  <c r="F59" i="87"/>
  <c r="F503" i="94"/>
  <c r="E59" i="87"/>
  <c r="E503" i="94"/>
  <c r="D59" i="87"/>
  <c r="D503" i="94"/>
  <c r="L58" i="87"/>
  <c r="K58" i="87"/>
  <c r="K490" i="94"/>
  <c r="J58" i="87"/>
  <c r="J490" i="94"/>
  <c r="I58" i="87"/>
  <c r="I490" i="94"/>
  <c r="H58" i="87"/>
  <c r="H490" i="94"/>
  <c r="G58" i="87"/>
  <c r="G490" i="94"/>
  <c r="F58" i="87"/>
  <c r="E58" i="87"/>
  <c r="E490" i="94"/>
  <c r="D58" i="87"/>
  <c r="D490" i="94"/>
  <c r="L57" i="87"/>
  <c r="L477" i="94"/>
  <c r="K57" i="87"/>
  <c r="K477" i="94"/>
  <c r="J57" i="87"/>
  <c r="J477" i="94"/>
  <c r="I57" i="87"/>
  <c r="I477" i="94"/>
  <c r="H57" i="87"/>
  <c r="H477" i="94"/>
  <c r="G57" i="87"/>
  <c r="F57" i="87"/>
  <c r="F477" i="94"/>
  <c r="E57" i="87"/>
  <c r="E477" i="94"/>
  <c r="D57" i="87"/>
  <c r="D477" i="94"/>
  <c r="L56" i="87"/>
  <c r="L464" i="94"/>
  <c r="K56" i="87"/>
  <c r="J56" i="87"/>
  <c r="J464" i="94"/>
  <c r="I56" i="87"/>
  <c r="I464" i="94"/>
  <c r="H56" i="87"/>
  <c r="H464" i="94"/>
  <c r="G56" i="87"/>
  <c r="F56" i="87"/>
  <c r="D32" i="86"/>
  <c r="E56" i="87"/>
  <c r="D56" i="87"/>
  <c r="L53" i="87"/>
  <c r="K53" i="87"/>
  <c r="K449" i="94"/>
  <c r="J53" i="87"/>
  <c r="I53" i="87"/>
  <c r="I449" i="94"/>
  <c r="H53" i="87"/>
  <c r="H449" i="94"/>
  <c r="G53" i="87"/>
  <c r="G449" i="94"/>
  <c r="F53" i="87"/>
  <c r="E53" i="87"/>
  <c r="D53" i="87"/>
  <c r="L50" i="87"/>
  <c r="L434" i="94"/>
  <c r="K50" i="87"/>
  <c r="K434" i="94"/>
  <c r="J50" i="87"/>
  <c r="J434" i="94"/>
  <c r="I50" i="87"/>
  <c r="I434" i="94"/>
  <c r="H50" i="87"/>
  <c r="H434" i="94"/>
  <c r="G50" i="87"/>
  <c r="G434" i="94"/>
  <c r="F50" i="87"/>
  <c r="E50" i="87"/>
  <c r="E434" i="94"/>
  <c r="D50" i="87"/>
  <c r="D434" i="94"/>
  <c r="L47" i="87"/>
  <c r="L419" i="94"/>
  <c r="K47" i="87"/>
  <c r="K419" i="94"/>
  <c r="J47" i="87"/>
  <c r="J419" i="94"/>
  <c r="I47" i="87"/>
  <c r="I419" i="94"/>
  <c r="H47" i="87"/>
  <c r="H419" i="94"/>
  <c r="G47" i="87"/>
  <c r="F47" i="87"/>
  <c r="F419" i="94"/>
  <c r="E47" i="87"/>
  <c r="E419" i="94"/>
  <c r="D47" i="87"/>
  <c r="D419" i="94"/>
  <c r="L41" i="87"/>
  <c r="L377" i="94"/>
  <c r="K41" i="87"/>
  <c r="K377" i="94"/>
  <c r="J41" i="87"/>
  <c r="J377" i="94"/>
  <c r="I41" i="87"/>
  <c r="I377" i="94"/>
  <c r="H41" i="87"/>
  <c r="H377" i="94"/>
  <c r="G41" i="87"/>
  <c r="F41" i="87"/>
  <c r="F377" i="94"/>
  <c r="E41" i="87"/>
  <c r="E377" i="94"/>
  <c r="D41" i="87"/>
  <c r="D377" i="94"/>
  <c r="L40" i="87"/>
  <c r="L364" i="94"/>
  <c r="K40" i="87"/>
  <c r="K364" i="94"/>
  <c r="J40" i="87"/>
  <c r="J364" i="94"/>
  <c r="I40" i="87"/>
  <c r="I364" i="94"/>
  <c r="H40" i="87"/>
  <c r="H364" i="94"/>
  <c r="G40" i="87"/>
  <c r="F40" i="87"/>
  <c r="F364" i="94"/>
  <c r="E40" i="87"/>
  <c r="E364" i="94"/>
  <c r="D40" i="87"/>
  <c r="D364" i="94"/>
  <c r="L39" i="87"/>
  <c r="L351" i="94"/>
  <c r="K39" i="87"/>
  <c r="K351" i="94"/>
  <c r="J39" i="87"/>
  <c r="J351" i="94"/>
  <c r="I39" i="87"/>
  <c r="I351" i="94"/>
  <c r="H39" i="87"/>
  <c r="H351" i="94"/>
  <c r="G39" i="87"/>
  <c r="G351" i="94"/>
  <c r="F39" i="87"/>
  <c r="F351" i="94"/>
  <c r="E39" i="87"/>
  <c r="E351" i="94"/>
  <c r="D39" i="87"/>
  <c r="D351" i="94"/>
  <c r="L38" i="87"/>
  <c r="L338" i="94"/>
  <c r="K38" i="87"/>
  <c r="K338" i="94"/>
  <c r="J38" i="87"/>
  <c r="I38" i="87"/>
  <c r="H38" i="87"/>
  <c r="H338" i="94"/>
  <c r="G38" i="87"/>
  <c r="G338" i="94"/>
  <c r="F38" i="87"/>
  <c r="F338" i="94"/>
  <c r="E38" i="87"/>
  <c r="E338" i="94"/>
  <c r="D38" i="87"/>
  <c r="D338" i="94"/>
  <c r="L37" i="87"/>
  <c r="L325" i="94"/>
  <c r="K37" i="87"/>
  <c r="K325" i="94"/>
  <c r="J37" i="87"/>
  <c r="I37" i="87"/>
  <c r="I325" i="94"/>
  <c r="H37" i="87"/>
  <c r="G37" i="87"/>
  <c r="G325" i="94"/>
  <c r="F37" i="87"/>
  <c r="F325" i="94"/>
  <c r="E37" i="87"/>
  <c r="E325" i="94"/>
  <c r="D37" i="87"/>
  <c r="L36" i="87"/>
  <c r="K36" i="87"/>
  <c r="K312" i="94"/>
  <c r="J36" i="87"/>
  <c r="J312" i="94"/>
  <c r="I36" i="87"/>
  <c r="I312" i="94"/>
  <c r="H36" i="87"/>
  <c r="H312" i="94"/>
  <c r="G36" i="87"/>
  <c r="G312" i="94"/>
  <c r="F36" i="87"/>
  <c r="F312" i="94"/>
  <c r="E36" i="87"/>
  <c r="D36" i="87"/>
  <c r="D312" i="94"/>
  <c r="L35" i="87"/>
  <c r="L299" i="94"/>
  <c r="K35" i="87"/>
  <c r="K299" i="94"/>
  <c r="J35" i="87"/>
  <c r="J299" i="94"/>
  <c r="I35" i="87"/>
  <c r="I299" i="94"/>
  <c r="H35" i="87"/>
  <c r="H299" i="94"/>
  <c r="G35" i="87"/>
  <c r="G299" i="94"/>
  <c r="F35" i="87"/>
  <c r="F299" i="94"/>
  <c r="E35" i="87"/>
  <c r="E299" i="94"/>
  <c r="D35" i="87"/>
  <c r="D299" i="94"/>
  <c r="R34" i="87"/>
  <c r="L114" i="87"/>
  <c r="L34" i="87"/>
  <c r="L286" i="94"/>
  <c r="K34" i="87"/>
  <c r="K286" i="94"/>
  <c r="J34" i="87"/>
  <c r="I34" i="87"/>
  <c r="I286" i="94"/>
  <c r="H34" i="87"/>
  <c r="G34" i="87"/>
  <c r="G286" i="94"/>
  <c r="F34" i="87"/>
  <c r="F286" i="94"/>
  <c r="E34" i="87"/>
  <c r="E286" i="94"/>
  <c r="D34" i="87"/>
  <c r="D286" i="94"/>
  <c r="L33" i="87"/>
  <c r="L273" i="94"/>
  <c r="K33" i="87"/>
  <c r="J33" i="87"/>
  <c r="J273" i="94"/>
  <c r="I33" i="87"/>
  <c r="H33" i="87"/>
  <c r="H273" i="94"/>
  <c r="G33" i="87"/>
  <c r="G273" i="94"/>
  <c r="F33" i="87"/>
  <c r="F273" i="94"/>
  <c r="E33" i="87"/>
  <c r="E273" i="94"/>
  <c r="D33" i="87"/>
  <c r="D273" i="94"/>
  <c r="Q32" i="87"/>
  <c r="L113" i="87"/>
  <c r="L32" i="87"/>
  <c r="L260" i="94"/>
  <c r="K32" i="87"/>
  <c r="K260" i="94"/>
  <c r="J32" i="87"/>
  <c r="J260" i="94"/>
  <c r="I32" i="87"/>
  <c r="I260" i="94"/>
  <c r="H32" i="87"/>
  <c r="H260" i="94"/>
  <c r="G32" i="87"/>
  <c r="F32" i="87"/>
  <c r="F260" i="94"/>
  <c r="E32" i="87"/>
  <c r="E260" i="94"/>
  <c r="D32" i="87"/>
  <c r="D260" i="94"/>
  <c r="L28" i="87"/>
  <c r="L220" i="94"/>
  <c r="K28" i="87"/>
  <c r="K220" i="94"/>
  <c r="J28" i="87"/>
  <c r="J220" i="94"/>
  <c r="I28" i="87"/>
  <c r="I220" i="94"/>
  <c r="H28" i="87"/>
  <c r="H220" i="94"/>
  <c r="G28" i="87"/>
  <c r="G220" i="94"/>
  <c r="F28" i="87"/>
  <c r="F220" i="94"/>
  <c r="E28" i="87"/>
  <c r="E220" i="94"/>
  <c r="D28" i="87"/>
  <c r="L27" i="87"/>
  <c r="L207" i="94"/>
  <c r="K27" i="87"/>
  <c r="K207" i="94"/>
  <c r="J27" i="87"/>
  <c r="J207" i="94"/>
  <c r="I27" i="87"/>
  <c r="I207" i="94"/>
  <c r="H27" i="87"/>
  <c r="H207" i="94"/>
  <c r="G27" i="87"/>
  <c r="G207" i="94"/>
  <c r="F27" i="87"/>
  <c r="F207" i="94"/>
  <c r="E27" i="87"/>
  <c r="E207" i="94"/>
  <c r="D27" i="87"/>
  <c r="D207" i="94"/>
  <c r="L26" i="87"/>
  <c r="L194" i="94"/>
  <c r="K26" i="87"/>
  <c r="K194" i="94"/>
  <c r="J26" i="87"/>
  <c r="J194" i="94"/>
  <c r="I26" i="87"/>
  <c r="I194" i="94"/>
  <c r="H26" i="87"/>
  <c r="H194" i="94"/>
  <c r="G26" i="87"/>
  <c r="G194" i="94"/>
  <c r="F26" i="87"/>
  <c r="F194" i="94"/>
  <c r="E26" i="87"/>
  <c r="E194" i="94"/>
  <c r="D26" i="87"/>
  <c r="D194" i="94"/>
  <c r="L25" i="87"/>
  <c r="L181" i="94"/>
  <c r="K25" i="87"/>
  <c r="K181" i="94"/>
  <c r="J25" i="87"/>
  <c r="J181" i="94"/>
  <c r="I25" i="87"/>
  <c r="I181" i="94"/>
  <c r="H25" i="87"/>
  <c r="H181" i="94"/>
  <c r="G25" i="87"/>
  <c r="F25" i="87"/>
  <c r="F181" i="94"/>
  <c r="E25" i="87"/>
  <c r="E181" i="94"/>
  <c r="D25" i="87"/>
  <c r="D181" i="94"/>
  <c r="L24" i="87"/>
  <c r="K24" i="87"/>
  <c r="K168" i="94"/>
  <c r="J24" i="87"/>
  <c r="J168" i="94"/>
  <c r="I24" i="87"/>
  <c r="I168" i="94"/>
  <c r="H24" i="87"/>
  <c r="H168" i="94"/>
  <c r="G24" i="87"/>
  <c r="G168" i="94"/>
  <c r="F24" i="87"/>
  <c r="F168" i="94"/>
  <c r="E24" i="87"/>
  <c r="E168" i="94"/>
  <c r="D24" i="87"/>
  <c r="D168" i="94"/>
  <c r="L23" i="87"/>
  <c r="L155" i="94"/>
  <c r="K23" i="87"/>
  <c r="K155" i="94"/>
  <c r="J23" i="87"/>
  <c r="J155" i="94"/>
  <c r="I23" i="87"/>
  <c r="I155" i="94"/>
  <c r="H23" i="87"/>
  <c r="H155" i="94"/>
  <c r="G23" i="87"/>
  <c r="G155" i="94"/>
  <c r="F23" i="87"/>
  <c r="F155" i="94"/>
  <c r="E23" i="87"/>
  <c r="E155" i="94"/>
  <c r="D23" i="87"/>
  <c r="D155" i="94"/>
  <c r="L22" i="87"/>
  <c r="L142" i="94"/>
  <c r="K22" i="87"/>
  <c r="K142" i="94"/>
  <c r="J22" i="87"/>
  <c r="J142" i="94"/>
  <c r="I22" i="87"/>
  <c r="I142" i="94"/>
  <c r="H22" i="87"/>
  <c r="H142" i="94"/>
  <c r="G22" i="87"/>
  <c r="G142" i="94"/>
  <c r="F22" i="87"/>
  <c r="E22" i="87"/>
  <c r="E142" i="94"/>
  <c r="D22" i="87"/>
  <c r="D142" i="94"/>
  <c r="L21" i="87"/>
  <c r="L129" i="94"/>
  <c r="K21" i="87"/>
  <c r="K129" i="94"/>
  <c r="J21" i="87"/>
  <c r="J129" i="94"/>
  <c r="I21" i="87"/>
  <c r="I129" i="94"/>
  <c r="H21" i="87"/>
  <c r="H129" i="94"/>
  <c r="G21" i="87"/>
  <c r="F21" i="87"/>
  <c r="F129" i="94"/>
  <c r="E21" i="87"/>
  <c r="E129" i="94"/>
  <c r="D21" i="87"/>
  <c r="D129" i="94"/>
  <c r="L20" i="87"/>
  <c r="I20" i="87"/>
  <c r="I116" i="94"/>
  <c r="H20" i="87"/>
  <c r="H116" i="94"/>
  <c r="G20" i="87"/>
  <c r="G116" i="94"/>
  <c r="F20" i="87"/>
  <c r="F116" i="94"/>
  <c r="E20" i="87"/>
  <c r="E116" i="94"/>
  <c r="D20" i="87"/>
  <c r="D116" i="94"/>
  <c r="J19" i="87"/>
  <c r="J103" i="94"/>
  <c r="H19" i="87"/>
  <c r="H103" i="94"/>
  <c r="G19" i="87"/>
  <c r="G103" i="94"/>
  <c r="F19" i="87"/>
  <c r="F103" i="94"/>
  <c r="E19" i="87"/>
  <c r="D19" i="87"/>
  <c r="D103" i="94"/>
  <c r="L14" i="87"/>
  <c r="L62" i="94"/>
  <c r="K14" i="87"/>
  <c r="K62" i="94"/>
  <c r="J14" i="87"/>
  <c r="J62" i="94"/>
  <c r="I14" i="87"/>
  <c r="I62" i="94"/>
  <c r="H14" i="87"/>
  <c r="H62" i="94"/>
  <c r="G14" i="87"/>
  <c r="F14" i="87"/>
  <c r="E14" i="87"/>
  <c r="E62" i="94"/>
  <c r="D14" i="87"/>
  <c r="D62" i="94"/>
  <c r="L13" i="87"/>
  <c r="L49" i="94"/>
  <c r="K13" i="87"/>
  <c r="J13" i="87"/>
  <c r="J49" i="94"/>
  <c r="I13" i="87"/>
  <c r="H13" i="87"/>
  <c r="H49" i="94"/>
  <c r="G13" i="87"/>
  <c r="G49" i="94"/>
  <c r="F13" i="87"/>
  <c r="D13" i="86"/>
  <c r="E13" i="87"/>
  <c r="E49" i="94"/>
  <c r="D13" i="87"/>
  <c r="D49" i="94"/>
  <c r="D36" i="94"/>
  <c r="L11" i="87"/>
  <c r="L23" i="94"/>
  <c r="K11" i="87"/>
  <c r="K23" i="94"/>
  <c r="J11" i="87"/>
  <c r="I11" i="87"/>
  <c r="I23" i="94"/>
  <c r="H11" i="87"/>
  <c r="H23" i="94"/>
  <c r="G11" i="87"/>
  <c r="G23" i="94"/>
  <c r="F11" i="87"/>
  <c r="F23" i="94"/>
  <c r="E11" i="87"/>
  <c r="D11" i="87"/>
  <c r="D23" i="94"/>
  <c r="L10" i="87"/>
  <c r="K10" i="87"/>
  <c r="J10" i="87"/>
  <c r="J10" i="94"/>
  <c r="I10" i="87"/>
  <c r="I10" i="94"/>
  <c r="H10" i="87"/>
  <c r="H10" i="94"/>
  <c r="G10" i="87"/>
  <c r="F10" i="87"/>
  <c r="F10" i="94"/>
  <c r="E10" i="87"/>
  <c r="E10" i="94"/>
  <c r="D10" i="87"/>
  <c r="D10" i="94"/>
  <c r="M105" i="84"/>
  <c r="U103" i="84"/>
  <c r="R103" i="84"/>
  <c r="P103" i="84"/>
  <c r="L97" i="84"/>
  <c r="L923" i="94"/>
  <c r="K97" i="84"/>
  <c r="K923" i="94"/>
  <c r="J97" i="84"/>
  <c r="J923" i="94"/>
  <c r="I97" i="84"/>
  <c r="I923" i="94"/>
  <c r="H97" i="84"/>
  <c r="H923" i="94"/>
  <c r="G97" i="84"/>
  <c r="G923" i="94"/>
  <c r="F97" i="84"/>
  <c r="E97" i="84"/>
  <c r="E923" i="94"/>
  <c r="D97" i="84"/>
  <c r="D923" i="94"/>
  <c r="L96" i="84"/>
  <c r="L910" i="94"/>
  <c r="K96" i="84"/>
  <c r="K910" i="94"/>
  <c r="J96" i="84"/>
  <c r="J910" i="94"/>
  <c r="I96" i="84"/>
  <c r="I910" i="94"/>
  <c r="H96" i="84"/>
  <c r="H910" i="94"/>
  <c r="G96" i="84"/>
  <c r="G910" i="94"/>
  <c r="F96" i="84"/>
  <c r="F910" i="94"/>
  <c r="E96" i="84"/>
  <c r="D96" i="84"/>
  <c r="D910" i="94"/>
  <c r="L95" i="84"/>
  <c r="L897" i="94"/>
  <c r="K95" i="84"/>
  <c r="K897" i="94"/>
  <c r="J95" i="84"/>
  <c r="J897" i="94"/>
  <c r="I95" i="84"/>
  <c r="I897" i="94"/>
  <c r="H95" i="84"/>
  <c r="H897" i="94"/>
  <c r="G95" i="84"/>
  <c r="F95" i="84"/>
  <c r="F897" i="94"/>
  <c r="E95" i="84"/>
  <c r="E897" i="94"/>
  <c r="D95" i="84"/>
  <c r="D897" i="94"/>
  <c r="L94" i="84"/>
  <c r="L884" i="94"/>
  <c r="K94" i="84"/>
  <c r="K884" i="94"/>
  <c r="J94" i="84"/>
  <c r="J884" i="94"/>
  <c r="I94" i="84"/>
  <c r="I884" i="94"/>
  <c r="H94" i="84"/>
  <c r="H884" i="94"/>
  <c r="G94" i="84"/>
  <c r="F94" i="84"/>
  <c r="F884" i="94"/>
  <c r="E94" i="84"/>
  <c r="E884" i="94"/>
  <c r="D94" i="84"/>
  <c r="D884" i="94"/>
  <c r="L93" i="84"/>
  <c r="L871" i="94"/>
  <c r="K93" i="84"/>
  <c r="K871" i="94"/>
  <c r="J93" i="84"/>
  <c r="J871" i="94"/>
  <c r="I93" i="84"/>
  <c r="I871" i="94"/>
  <c r="H93" i="84"/>
  <c r="H871" i="94"/>
  <c r="G93" i="84"/>
  <c r="G871" i="94"/>
  <c r="F93" i="84"/>
  <c r="E93" i="84"/>
  <c r="E871" i="94"/>
  <c r="D93" i="84"/>
  <c r="D871" i="94"/>
  <c r="L88" i="84"/>
  <c r="L830" i="94"/>
  <c r="K88" i="84"/>
  <c r="J88" i="84"/>
  <c r="I88" i="84"/>
  <c r="I830" i="94"/>
  <c r="H88" i="84"/>
  <c r="H830" i="94"/>
  <c r="G88" i="84"/>
  <c r="F88" i="84"/>
  <c r="E88" i="84"/>
  <c r="D88" i="84"/>
  <c r="D830" i="94"/>
  <c r="S87" i="84"/>
  <c r="L87" i="84"/>
  <c r="K87" i="84"/>
  <c r="K817" i="94"/>
  <c r="J87" i="84"/>
  <c r="J817" i="94"/>
  <c r="I87" i="84"/>
  <c r="I817" i="94"/>
  <c r="H87" i="84"/>
  <c r="G87" i="84"/>
  <c r="G817" i="94"/>
  <c r="F87" i="84"/>
  <c r="E87" i="84"/>
  <c r="E817" i="94"/>
  <c r="D87" i="84"/>
  <c r="D817" i="94"/>
  <c r="S84" i="84"/>
  <c r="L83" i="84"/>
  <c r="L789" i="94"/>
  <c r="K83" i="84"/>
  <c r="K789" i="94"/>
  <c r="J83" i="84"/>
  <c r="J789" i="94"/>
  <c r="I83" i="84"/>
  <c r="I789" i="94"/>
  <c r="H83" i="84"/>
  <c r="H789" i="94"/>
  <c r="G83" i="84"/>
  <c r="F83" i="84"/>
  <c r="D60" i="83"/>
  <c r="F789" i="94"/>
  <c r="E83" i="84"/>
  <c r="E789" i="94"/>
  <c r="D83" i="84"/>
  <c r="D789" i="94"/>
  <c r="L82" i="84"/>
  <c r="K82" i="84"/>
  <c r="K776" i="94"/>
  <c r="J82" i="84"/>
  <c r="J776" i="94"/>
  <c r="I82" i="84"/>
  <c r="I776" i="94"/>
  <c r="H82" i="84"/>
  <c r="H776" i="94"/>
  <c r="G82" i="84"/>
  <c r="G776" i="94"/>
  <c r="F82" i="84"/>
  <c r="F776" i="94"/>
  <c r="E82" i="84"/>
  <c r="E776" i="94"/>
  <c r="D82" i="84"/>
  <c r="L81" i="84"/>
  <c r="L763" i="94"/>
  <c r="K81" i="84"/>
  <c r="J81" i="84"/>
  <c r="J763" i="94"/>
  <c r="I81" i="84"/>
  <c r="H81" i="84"/>
  <c r="H763" i="94"/>
  <c r="G81" i="84"/>
  <c r="G763" i="94"/>
  <c r="F81" i="84"/>
  <c r="D58" i="83"/>
  <c r="E81" i="84"/>
  <c r="D81" i="84"/>
  <c r="D763" i="94"/>
  <c r="L80" i="84"/>
  <c r="L750" i="94"/>
  <c r="K80" i="84"/>
  <c r="K750" i="94"/>
  <c r="J80" i="84"/>
  <c r="I80" i="84"/>
  <c r="I750" i="94"/>
  <c r="H80" i="84"/>
  <c r="H750" i="94"/>
  <c r="G80" i="84"/>
  <c r="G750" i="94"/>
  <c r="F80" i="84"/>
  <c r="D57" i="83"/>
  <c r="E80" i="84"/>
  <c r="E750" i="94"/>
  <c r="D80" i="84"/>
  <c r="D750" i="94"/>
  <c r="S77" i="84"/>
  <c r="S76" i="84"/>
  <c r="L76" i="84"/>
  <c r="L722" i="94"/>
  <c r="K76" i="84"/>
  <c r="K722" i="94"/>
  <c r="J76" i="84"/>
  <c r="J722" i="94"/>
  <c r="I76" i="84"/>
  <c r="I722" i="94"/>
  <c r="H76" i="84"/>
  <c r="H722" i="94"/>
  <c r="G76" i="84"/>
  <c r="G722" i="94"/>
  <c r="F76" i="84"/>
  <c r="F722" i="94"/>
  <c r="E76" i="84"/>
  <c r="E722" i="94"/>
  <c r="D76" i="84"/>
  <c r="L75" i="84"/>
  <c r="L709" i="94"/>
  <c r="K75" i="84"/>
  <c r="K709" i="94"/>
  <c r="J75" i="84"/>
  <c r="I75" i="84"/>
  <c r="I709" i="94"/>
  <c r="H75" i="84"/>
  <c r="H709" i="94"/>
  <c r="G75" i="84"/>
  <c r="G709" i="94"/>
  <c r="F75" i="84"/>
  <c r="E75" i="84"/>
  <c r="D75" i="84"/>
  <c r="D709" i="94"/>
  <c r="X74" i="84"/>
  <c r="P74" i="84"/>
  <c r="L74" i="84"/>
  <c r="L696" i="94"/>
  <c r="K74" i="84"/>
  <c r="K696" i="94"/>
  <c r="J74" i="84"/>
  <c r="J696" i="94"/>
  <c r="I74" i="84"/>
  <c r="I696" i="94"/>
  <c r="H74" i="84"/>
  <c r="H696" i="94"/>
  <c r="G74" i="84"/>
  <c r="G696" i="94"/>
  <c r="F74" i="84"/>
  <c r="F696" i="94"/>
  <c r="E74" i="84"/>
  <c r="E696" i="94"/>
  <c r="D74" i="84"/>
  <c r="X73" i="84"/>
  <c r="R73" i="84"/>
  <c r="Q73" i="84"/>
  <c r="P73" i="84"/>
  <c r="L73" i="84"/>
  <c r="L683" i="94"/>
  <c r="K73" i="84"/>
  <c r="K683" i="94"/>
  <c r="J73" i="84"/>
  <c r="J683" i="94"/>
  <c r="I73" i="84"/>
  <c r="I683" i="94"/>
  <c r="H73" i="84"/>
  <c r="H683" i="94"/>
  <c r="G73" i="84"/>
  <c r="G683" i="94"/>
  <c r="F73" i="84"/>
  <c r="E73" i="84"/>
  <c r="D73" i="84"/>
  <c r="D683" i="94"/>
  <c r="X72" i="84"/>
  <c r="R72" i="84"/>
  <c r="Q72" i="84"/>
  <c r="P72" i="84"/>
  <c r="L72" i="84"/>
  <c r="L670" i="94"/>
  <c r="K72" i="84"/>
  <c r="K670" i="94"/>
  <c r="J72" i="84"/>
  <c r="J670" i="94"/>
  <c r="I72" i="84"/>
  <c r="H72" i="84"/>
  <c r="H670" i="94"/>
  <c r="G72" i="84"/>
  <c r="F72" i="84"/>
  <c r="F670" i="94"/>
  <c r="E72" i="84"/>
  <c r="D72" i="84"/>
  <c r="D670" i="94"/>
  <c r="X71" i="84"/>
  <c r="R71" i="84"/>
  <c r="Q71" i="84"/>
  <c r="P71" i="84"/>
  <c r="L71" i="84"/>
  <c r="L657" i="94"/>
  <c r="K71" i="84"/>
  <c r="K657" i="94"/>
  <c r="J71" i="84"/>
  <c r="J657" i="94"/>
  <c r="I71" i="84"/>
  <c r="I657" i="94"/>
  <c r="H71" i="84"/>
  <c r="G71" i="84"/>
  <c r="G657" i="94"/>
  <c r="F71" i="84"/>
  <c r="F657" i="94"/>
  <c r="E71" i="84"/>
  <c r="E657" i="94"/>
  <c r="D71" i="84"/>
  <c r="X70" i="84"/>
  <c r="R70" i="84"/>
  <c r="Q70" i="84"/>
  <c r="P70" i="84"/>
  <c r="L70" i="84"/>
  <c r="L644" i="94"/>
  <c r="K70" i="84"/>
  <c r="K644" i="94"/>
  <c r="J70" i="84"/>
  <c r="J644" i="94"/>
  <c r="I70" i="84"/>
  <c r="I644" i="94"/>
  <c r="H70" i="84"/>
  <c r="H644" i="94"/>
  <c r="G70" i="84"/>
  <c r="F70" i="84"/>
  <c r="F644" i="94"/>
  <c r="E70" i="84"/>
  <c r="E644" i="94"/>
  <c r="D70" i="84"/>
  <c r="D644" i="94"/>
  <c r="X69" i="84"/>
  <c r="R69" i="84"/>
  <c r="Q69" i="84"/>
  <c r="P69" i="84"/>
  <c r="L69" i="84"/>
  <c r="L631" i="94"/>
  <c r="K69" i="84"/>
  <c r="K631" i="94"/>
  <c r="J69" i="84"/>
  <c r="J631" i="94"/>
  <c r="I69" i="84"/>
  <c r="I631" i="94"/>
  <c r="H69" i="84"/>
  <c r="H631" i="94"/>
  <c r="G69" i="84"/>
  <c r="G631" i="94"/>
  <c r="F69" i="84"/>
  <c r="E69" i="84"/>
  <c r="E631" i="94"/>
  <c r="D69" i="84"/>
  <c r="X68" i="84"/>
  <c r="R68" i="84"/>
  <c r="Q68" i="84"/>
  <c r="P68" i="84"/>
  <c r="E18" i="95"/>
  <c r="L68" i="84"/>
  <c r="L618" i="94"/>
  <c r="K68" i="84"/>
  <c r="K618" i="94"/>
  <c r="J68" i="84"/>
  <c r="J618" i="94"/>
  <c r="I68" i="84"/>
  <c r="I618" i="94"/>
  <c r="H68" i="84"/>
  <c r="H618" i="94"/>
  <c r="G68" i="84"/>
  <c r="G618" i="94"/>
  <c r="F68" i="84"/>
  <c r="E68" i="84"/>
  <c r="E618" i="94"/>
  <c r="D68" i="84"/>
  <c r="X67" i="84"/>
  <c r="R67" i="84"/>
  <c r="Q67" i="84"/>
  <c r="P67" i="84"/>
  <c r="L67" i="84"/>
  <c r="L605" i="94"/>
  <c r="K67" i="84"/>
  <c r="K605" i="94"/>
  <c r="J67" i="84"/>
  <c r="J605" i="94"/>
  <c r="I67" i="84"/>
  <c r="I605" i="94"/>
  <c r="H67" i="84"/>
  <c r="G67" i="84"/>
  <c r="G605" i="94"/>
  <c r="F67" i="84"/>
  <c r="F605" i="94"/>
  <c r="E67" i="84"/>
  <c r="E605" i="94"/>
  <c r="D67" i="84"/>
  <c r="O67" i="84"/>
  <c r="S67" i="84"/>
  <c r="X66" i="84"/>
  <c r="R66" i="84"/>
  <c r="Q66" i="84"/>
  <c r="P66" i="84"/>
  <c r="L66" i="84"/>
  <c r="K66" i="84"/>
  <c r="K592" i="94"/>
  <c r="J66" i="84"/>
  <c r="I66" i="84"/>
  <c r="I592" i="94"/>
  <c r="H66" i="84"/>
  <c r="H592" i="94"/>
  <c r="G66" i="84"/>
  <c r="F66" i="84"/>
  <c r="E66" i="84"/>
  <c r="E592" i="94"/>
  <c r="D66" i="84"/>
  <c r="D592" i="94"/>
  <c r="X65" i="84"/>
  <c r="R65" i="84"/>
  <c r="Q65" i="84"/>
  <c r="P65" i="84"/>
  <c r="L65" i="84"/>
  <c r="L579" i="94"/>
  <c r="K65" i="84"/>
  <c r="J65" i="84"/>
  <c r="J579" i="94"/>
  <c r="I65" i="84"/>
  <c r="I579" i="94"/>
  <c r="H65" i="84"/>
  <c r="H579" i="94"/>
  <c r="G65" i="84"/>
  <c r="G579" i="94"/>
  <c r="F65" i="84"/>
  <c r="F579" i="94"/>
  <c r="E65" i="84"/>
  <c r="D65" i="84"/>
  <c r="D579" i="94"/>
  <c r="L61" i="84"/>
  <c r="L539" i="94"/>
  <c r="K61" i="84"/>
  <c r="K539" i="94"/>
  <c r="J61" i="84"/>
  <c r="J539" i="94"/>
  <c r="I61" i="84"/>
  <c r="I539" i="94"/>
  <c r="H61" i="84"/>
  <c r="H539" i="94"/>
  <c r="G61" i="84"/>
  <c r="G539" i="94"/>
  <c r="F61" i="84"/>
  <c r="F539" i="94"/>
  <c r="E61" i="84"/>
  <c r="E539" i="94"/>
  <c r="D61" i="84"/>
  <c r="L60" i="84"/>
  <c r="L526" i="94"/>
  <c r="K60" i="84"/>
  <c r="J60" i="84"/>
  <c r="J526" i="94"/>
  <c r="I60" i="84"/>
  <c r="I526" i="94"/>
  <c r="H60" i="84"/>
  <c r="H526" i="94"/>
  <c r="G60" i="84"/>
  <c r="F60" i="84"/>
  <c r="D36" i="83"/>
  <c r="F526" i="94"/>
  <c r="E60" i="84"/>
  <c r="E526" i="94"/>
  <c r="D60" i="84"/>
  <c r="D526" i="94"/>
  <c r="L59" i="84"/>
  <c r="L513" i="94"/>
  <c r="K59" i="84"/>
  <c r="K513" i="94"/>
  <c r="J59" i="84"/>
  <c r="I59" i="84"/>
  <c r="H59" i="84"/>
  <c r="H513" i="94"/>
  <c r="G59" i="84"/>
  <c r="G513" i="94"/>
  <c r="F59" i="84"/>
  <c r="E59" i="84"/>
  <c r="E513" i="94"/>
  <c r="D59" i="84"/>
  <c r="L58" i="84"/>
  <c r="L500" i="94"/>
  <c r="K58" i="84"/>
  <c r="K500" i="94"/>
  <c r="J58" i="84"/>
  <c r="J500" i="94"/>
  <c r="I58" i="84"/>
  <c r="I500" i="94"/>
  <c r="H58" i="84"/>
  <c r="H500" i="94"/>
  <c r="G58" i="84"/>
  <c r="G500" i="94"/>
  <c r="F58" i="84"/>
  <c r="E58" i="84"/>
  <c r="E500" i="94"/>
  <c r="D58" i="84"/>
  <c r="L57" i="84"/>
  <c r="K57" i="84"/>
  <c r="J57" i="84"/>
  <c r="J487" i="94"/>
  <c r="I57" i="84"/>
  <c r="I487" i="94"/>
  <c r="H57" i="84"/>
  <c r="G57" i="84"/>
  <c r="G487" i="94"/>
  <c r="F57" i="84"/>
  <c r="D33" i="83"/>
  <c r="E57" i="84"/>
  <c r="E487" i="94"/>
  <c r="D57" i="84"/>
  <c r="D487" i="94"/>
  <c r="L56" i="84"/>
  <c r="L474" i="94"/>
  <c r="K56" i="84"/>
  <c r="K474" i="94"/>
  <c r="J56" i="84"/>
  <c r="J474" i="94"/>
  <c r="I56" i="84"/>
  <c r="I474" i="94"/>
  <c r="H56" i="84"/>
  <c r="H474" i="94"/>
  <c r="G56" i="84"/>
  <c r="G474" i="94"/>
  <c r="F56" i="84"/>
  <c r="E56" i="84"/>
  <c r="D56" i="84"/>
  <c r="L53" i="84"/>
  <c r="L459" i="94"/>
  <c r="K53" i="84"/>
  <c r="K459" i="94"/>
  <c r="J53" i="84"/>
  <c r="J459" i="94"/>
  <c r="I53" i="84"/>
  <c r="H53" i="84"/>
  <c r="H459" i="94"/>
  <c r="G53" i="84"/>
  <c r="G459" i="94"/>
  <c r="F53" i="84"/>
  <c r="E53" i="84"/>
  <c r="E459" i="94"/>
  <c r="D53" i="84"/>
  <c r="D459" i="94"/>
  <c r="L50" i="84"/>
  <c r="L444" i="94"/>
  <c r="K50" i="84"/>
  <c r="J50" i="84"/>
  <c r="J444" i="94"/>
  <c r="I50" i="84"/>
  <c r="I444" i="94"/>
  <c r="H50" i="84"/>
  <c r="H444" i="94"/>
  <c r="G50" i="84"/>
  <c r="G444" i="94"/>
  <c r="F50" i="84"/>
  <c r="F444" i="94"/>
  <c r="E50" i="84"/>
  <c r="E444" i="94"/>
  <c r="D50" i="84"/>
  <c r="D444" i="94"/>
  <c r="L47" i="84"/>
  <c r="K47" i="84"/>
  <c r="K429" i="94"/>
  <c r="J47" i="84"/>
  <c r="J429" i="94"/>
  <c r="I47" i="84"/>
  <c r="I429" i="94"/>
  <c r="H47" i="84"/>
  <c r="H429" i="94"/>
  <c r="G47" i="84"/>
  <c r="G429" i="94"/>
  <c r="F47" i="84"/>
  <c r="E47" i="84"/>
  <c r="E429" i="94"/>
  <c r="D47" i="84"/>
  <c r="L41" i="84"/>
  <c r="L387" i="94"/>
  <c r="K41" i="84"/>
  <c r="K387" i="94"/>
  <c r="J41" i="84"/>
  <c r="J387" i="94"/>
  <c r="I41" i="84"/>
  <c r="I387" i="94"/>
  <c r="H41" i="84"/>
  <c r="G41" i="84"/>
  <c r="G387" i="94"/>
  <c r="F41" i="84"/>
  <c r="F387" i="94"/>
  <c r="E41" i="84"/>
  <c r="E387" i="94"/>
  <c r="D41" i="84"/>
  <c r="D387" i="94"/>
  <c r="L40" i="84"/>
  <c r="L374" i="94"/>
  <c r="K40" i="84"/>
  <c r="K374" i="94"/>
  <c r="J40" i="84"/>
  <c r="J374" i="94"/>
  <c r="I40" i="84"/>
  <c r="I374" i="94"/>
  <c r="H40" i="84"/>
  <c r="H374" i="94"/>
  <c r="G40" i="84"/>
  <c r="G374" i="94"/>
  <c r="F40" i="84"/>
  <c r="E40" i="84"/>
  <c r="E374" i="94"/>
  <c r="D40" i="84"/>
  <c r="D374" i="94"/>
  <c r="L39" i="84"/>
  <c r="L361" i="94"/>
  <c r="K39" i="84"/>
  <c r="J39" i="84"/>
  <c r="J361" i="94"/>
  <c r="I39" i="84"/>
  <c r="I361" i="94"/>
  <c r="H39" i="84"/>
  <c r="H361" i="94"/>
  <c r="G39" i="84"/>
  <c r="F39" i="84"/>
  <c r="F361" i="94"/>
  <c r="E39" i="84"/>
  <c r="E361" i="94"/>
  <c r="D39" i="84"/>
  <c r="D361" i="94"/>
  <c r="L38" i="84"/>
  <c r="L348" i="94"/>
  <c r="K38" i="84"/>
  <c r="K348" i="94"/>
  <c r="J38" i="84"/>
  <c r="J348" i="94"/>
  <c r="I38" i="84"/>
  <c r="I348" i="94"/>
  <c r="H38" i="84"/>
  <c r="H348" i="94"/>
  <c r="G38" i="84"/>
  <c r="G348" i="94"/>
  <c r="F38" i="84"/>
  <c r="F348" i="94"/>
  <c r="E38" i="84"/>
  <c r="E348" i="94"/>
  <c r="D38" i="84"/>
  <c r="L37" i="84"/>
  <c r="L335" i="94"/>
  <c r="K37" i="84"/>
  <c r="K335" i="94"/>
  <c r="J37" i="84"/>
  <c r="J335" i="94"/>
  <c r="I37" i="84"/>
  <c r="H37" i="84"/>
  <c r="H335" i="94"/>
  <c r="G37" i="84"/>
  <c r="G335" i="94"/>
  <c r="F37" i="84"/>
  <c r="F335" i="94"/>
  <c r="E37" i="84"/>
  <c r="D37" i="84"/>
  <c r="D335" i="94"/>
  <c r="L36" i="84"/>
  <c r="L322" i="94"/>
  <c r="K36" i="84"/>
  <c r="K322" i="94"/>
  <c r="J36" i="84"/>
  <c r="I36" i="84"/>
  <c r="H36" i="84"/>
  <c r="H322" i="94"/>
  <c r="G36" i="84"/>
  <c r="G322" i="94"/>
  <c r="F36" i="84"/>
  <c r="F322" i="94"/>
  <c r="E36" i="84"/>
  <c r="E322" i="94"/>
  <c r="D36" i="84"/>
  <c r="L35" i="84"/>
  <c r="L309" i="94"/>
  <c r="K35" i="84"/>
  <c r="J35" i="84"/>
  <c r="J309" i="94"/>
  <c r="I35" i="84"/>
  <c r="I309" i="94"/>
  <c r="H35" i="84"/>
  <c r="H309" i="94"/>
  <c r="G35" i="84"/>
  <c r="G309" i="94"/>
  <c r="F35" i="84"/>
  <c r="F309" i="94"/>
  <c r="E35" i="84"/>
  <c r="E309" i="94"/>
  <c r="D35" i="84"/>
  <c r="D309" i="94"/>
  <c r="R34" i="84"/>
  <c r="L114" i="84"/>
  <c r="L34" i="84"/>
  <c r="L296" i="94"/>
  <c r="K34" i="84"/>
  <c r="K296" i="94"/>
  <c r="J34" i="84"/>
  <c r="J296" i="94"/>
  <c r="I34" i="84"/>
  <c r="I296" i="94"/>
  <c r="H34" i="84"/>
  <c r="H296" i="94"/>
  <c r="G34" i="84"/>
  <c r="G296" i="94"/>
  <c r="F34" i="84"/>
  <c r="F296" i="94"/>
  <c r="E34" i="84"/>
  <c r="E296" i="94"/>
  <c r="D34" i="84"/>
  <c r="L33" i="84"/>
  <c r="L283" i="94"/>
  <c r="K33" i="84"/>
  <c r="K283" i="94"/>
  <c r="J33" i="84"/>
  <c r="J283" i="94"/>
  <c r="I33" i="84"/>
  <c r="I283" i="94"/>
  <c r="H33" i="84"/>
  <c r="H283" i="94"/>
  <c r="G33" i="84"/>
  <c r="G283" i="94"/>
  <c r="F33" i="84"/>
  <c r="F283" i="94"/>
  <c r="E33" i="84"/>
  <c r="D33" i="84"/>
  <c r="Q32" i="84"/>
  <c r="L113" i="84"/>
  <c r="L32" i="84"/>
  <c r="K32" i="84"/>
  <c r="K270" i="94"/>
  <c r="J32" i="84"/>
  <c r="J270" i="94"/>
  <c r="I32" i="84"/>
  <c r="I270" i="94"/>
  <c r="H32" i="84"/>
  <c r="H270" i="94"/>
  <c r="G32" i="84"/>
  <c r="F32" i="84"/>
  <c r="E32" i="84"/>
  <c r="E270" i="94"/>
  <c r="D32" i="84"/>
  <c r="D270" i="94"/>
  <c r="L28" i="84"/>
  <c r="L230" i="94"/>
  <c r="K28" i="84"/>
  <c r="K230" i="94"/>
  <c r="J28" i="84"/>
  <c r="J230" i="94"/>
  <c r="I28" i="84"/>
  <c r="I230" i="94"/>
  <c r="H28" i="84"/>
  <c r="H230" i="94"/>
  <c r="G28" i="84"/>
  <c r="G230" i="94"/>
  <c r="F28" i="84"/>
  <c r="F230" i="94"/>
  <c r="E28" i="84"/>
  <c r="D28" i="84"/>
  <c r="L27" i="84"/>
  <c r="L217" i="94"/>
  <c r="K27" i="84"/>
  <c r="K217" i="94"/>
  <c r="J27" i="84"/>
  <c r="J217" i="94"/>
  <c r="I27" i="84"/>
  <c r="H27" i="84"/>
  <c r="H217" i="94"/>
  <c r="G27" i="84"/>
  <c r="G217" i="94"/>
  <c r="F27" i="84"/>
  <c r="F217" i="94"/>
  <c r="E27" i="84"/>
  <c r="E217" i="94"/>
  <c r="D27" i="84"/>
  <c r="D217" i="94"/>
  <c r="L26" i="84"/>
  <c r="L204" i="94"/>
  <c r="K26" i="84"/>
  <c r="K204" i="94"/>
  <c r="J26" i="84"/>
  <c r="J204" i="94"/>
  <c r="I26" i="84"/>
  <c r="I204" i="94"/>
  <c r="H26" i="84"/>
  <c r="H204" i="94"/>
  <c r="G26" i="84"/>
  <c r="G204" i="94"/>
  <c r="F26" i="84"/>
  <c r="E26" i="84"/>
  <c r="E204" i="94"/>
  <c r="D26" i="84"/>
  <c r="D204" i="94"/>
  <c r="L25" i="84"/>
  <c r="L191" i="94"/>
  <c r="K25" i="84"/>
  <c r="K191" i="94"/>
  <c r="J25" i="84"/>
  <c r="J191" i="94"/>
  <c r="I25" i="84"/>
  <c r="I191" i="94"/>
  <c r="H25" i="84"/>
  <c r="H191" i="94"/>
  <c r="G25" i="84"/>
  <c r="F25" i="84"/>
  <c r="F191" i="94"/>
  <c r="E25" i="84"/>
  <c r="E191" i="94"/>
  <c r="D25" i="84"/>
  <c r="D191" i="94"/>
  <c r="L24" i="84"/>
  <c r="K24" i="84"/>
  <c r="J24" i="84"/>
  <c r="J178" i="94"/>
  <c r="I24" i="84"/>
  <c r="I178" i="94"/>
  <c r="H24" i="84"/>
  <c r="H178" i="94"/>
  <c r="G24" i="84"/>
  <c r="F24" i="84"/>
  <c r="E24" i="84"/>
  <c r="E178" i="94"/>
  <c r="D24" i="84"/>
  <c r="L23" i="84"/>
  <c r="L165" i="94"/>
  <c r="K23" i="84"/>
  <c r="K165" i="94"/>
  <c r="J23" i="84"/>
  <c r="J165" i="94"/>
  <c r="I23" i="84"/>
  <c r="H23" i="84"/>
  <c r="G23" i="84"/>
  <c r="G165" i="94"/>
  <c r="F23" i="84"/>
  <c r="F165" i="94"/>
  <c r="E23" i="84"/>
  <c r="D23" i="84"/>
  <c r="L22" i="84"/>
  <c r="K22" i="84"/>
  <c r="K152" i="94"/>
  <c r="J22" i="84"/>
  <c r="I22" i="84"/>
  <c r="I152" i="94"/>
  <c r="H22" i="84"/>
  <c r="H152" i="94"/>
  <c r="G22" i="84"/>
  <c r="G152" i="94"/>
  <c r="F22" i="84"/>
  <c r="F152" i="94"/>
  <c r="E22" i="84"/>
  <c r="E152" i="94"/>
  <c r="D22" i="84"/>
  <c r="D152" i="94"/>
  <c r="L21" i="84"/>
  <c r="L139" i="94"/>
  <c r="K21" i="84"/>
  <c r="K139" i="94"/>
  <c r="J21" i="84"/>
  <c r="I21" i="84"/>
  <c r="I139" i="94"/>
  <c r="H21" i="84"/>
  <c r="H139" i="94"/>
  <c r="G21" i="84"/>
  <c r="G139" i="94"/>
  <c r="F21" i="84"/>
  <c r="F139" i="94"/>
  <c r="E21" i="84"/>
  <c r="E139" i="94"/>
  <c r="D21" i="84"/>
  <c r="D139" i="94"/>
  <c r="L20" i="84"/>
  <c r="L126" i="94"/>
  <c r="I20" i="84"/>
  <c r="I126" i="94"/>
  <c r="H20" i="84"/>
  <c r="H126" i="94"/>
  <c r="G20" i="84"/>
  <c r="G126" i="94"/>
  <c r="F20" i="84"/>
  <c r="F126" i="94"/>
  <c r="E20" i="84"/>
  <c r="E126" i="94"/>
  <c r="D20" i="84"/>
  <c r="D126" i="94"/>
  <c r="J19" i="84"/>
  <c r="J113" i="94"/>
  <c r="H19" i="84"/>
  <c r="H113" i="94"/>
  <c r="G19" i="84"/>
  <c r="F19" i="84"/>
  <c r="E19" i="84"/>
  <c r="E113" i="94"/>
  <c r="D19" i="84"/>
  <c r="D113" i="94"/>
  <c r="L14" i="84"/>
  <c r="L72" i="94"/>
  <c r="K14" i="84"/>
  <c r="K72" i="94"/>
  <c r="J14" i="84"/>
  <c r="J72" i="94"/>
  <c r="I14" i="84"/>
  <c r="I72" i="94"/>
  <c r="H14" i="84"/>
  <c r="H72" i="94"/>
  <c r="G14" i="84"/>
  <c r="G72" i="94"/>
  <c r="F14" i="84"/>
  <c r="F72" i="94"/>
  <c r="E14" i="84"/>
  <c r="D14" i="84"/>
  <c r="D72" i="94"/>
  <c r="L13" i="84"/>
  <c r="L59" i="94"/>
  <c r="K13" i="84"/>
  <c r="K59" i="94"/>
  <c r="J13" i="84"/>
  <c r="J59" i="94"/>
  <c r="I13" i="84"/>
  <c r="I59" i="94"/>
  <c r="H13" i="84"/>
  <c r="H59" i="94"/>
  <c r="G13" i="84"/>
  <c r="G59" i="94"/>
  <c r="F13" i="84"/>
  <c r="E13" i="84"/>
  <c r="E59" i="94"/>
  <c r="D13" i="84"/>
  <c r="D46" i="94"/>
  <c r="L11" i="84"/>
  <c r="L33" i="94"/>
  <c r="K11" i="84"/>
  <c r="K33" i="94"/>
  <c r="J11" i="84"/>
  <c r="I11" i="84"/>
  <c r="H11" i="84"/>
  <c r="G11" i="84"/>
  <c r="G33" i="94"/>
  <c r="F11" i="84"/>
  <c r="F33" i="94"/>
  <c r="E11" i="84"/>
  <c r="E33" i="94"/>
  <c r="D11" i="84"/>
  <c r="D33" i="94"/>
  <c r="L10" i="84"/>
  <c r="K10" i="84"/>
  <c r="J10" i="84"/>
  <c r="I10" i="84"/>
  <c r="I20" i="94"/>
  <c r="H10" i="84"/>
  <c r="H20" i="94"/>
  <c r="G10" i="84"/>
  <c r="F10" i="84"/>
  <c r="E10" i="84"/>
  <c r="E20" i="94"/>
  <c r="D10" i="84"/>
  <c r="D20" i="94"/>
  <c r="B1" i="88"/>
  <c r="B3" i="93"/>
  <c r="B2" i="93"/>
  <c r="V103" i="92"/>
  <c r="D45" i="91"/>
  <c r="K20" i="92"/>
  <c r="K121" i="94"/>
  <c r="J20" i="92"/>
  <c r="J121" i="94"/>
  <c r="L19" i="92"/>
  <c r="L108" i="94"/>
  <c r="K19" i="92"/>
  <c r="K108" i="94"/>
  <c r="I19" i="92"/>
  <c r="L41" i="94"/>
  <c r="K41" i="94"/>
  <c r="J41" i="94"/>
  <c r="H41" i="94"/>
  <c r="G41" i="94"/>
  <c r="F41" i="94"/>
  <c r="M7" i="92"/>
  <c r="B6" i="92"/>
  <c r="B4" i="92"/>
  <c r="B3" i="92"/>
  <c r="E66" i="91"/>
  <c r="E61" i="91"/>
  <c r="D60" i="91"/>
  <c r="E38" i="91"/>
  <c r="D37" i="91"/>
  <c r="E20" i="91"/>
  <c r="E15" i="91"/>
  <c r="A5" i="91"/>
  <c r="A3" i="91"/>
  <c r="A2" i="91"/>
  <c r="A1" i="91"/>
  <c r="G2" i="91"/>
  <c r="C56" i="90"/>
  <c r="C14" i="90"/>
  <c r="C13" i="90"/>
  <c r="C12" i="90"/>
  <c r="C11" i="90"/>
  <c r="A3" i="90"/>
  <c r="A2" i="90"/>
  <c r="B3" i="89"/>
  <c r="B2" i="89"/>
  <c r="B17" i="88"/>
  <c r="B3" i="88"/>
  <c r="B2" i="88"/>
  <c r="V103" i="87"/>
  <c r="K20" i="87"/>
  <c r="K116" i="94"/>
  <c r="J20" i="87"/>
  <c r="L19" i="87"/>
  <c r="L103" i="94"/>
  <c r="K19" i="87"/>
  <c r="I19" i="87"/>
  <c r="L36" i="94"/>
  <c r="K36" i="94"/>
  <c r="J36" i="94"/>
  <c r="I36" i="94"/>
  <c r="H36" i="94"/>
  <c r="G36" i="94"/>
  <c r="F36" i="94"/>
  <c r="E36" i="94"/>
  <c r="M7" i="87"/>
  <c r="B6" i="87"/>
  <c r="B4" i="87"/>
  <c r="B3" i="87"/>
  <c r="B2" i="87"/>
  <c r="A6" i="57"/>
  <c r="E66" i="86"/>
  <c r="E61" i="86"/>
  <c r="E38" i="86"/>
  <c r="E20" i="86"/>
  <c r="E15" i="86"/>
  <c r="A5" i="86"/>
  <c r="A3" i="86"/>
  <c r="A2" i="86"/>
  <c r="A1" i="86"/>
  <c r="G2" i="86"/>
  <c r="C56" i="85"/>
  <c r="C14" i="85"/>
  <c r="C13" i="85"/>
  <c r="C12" i="85"/>
  <c r="C11" i="85"/>
  <c r="A3" i="85"/>
  <c r="A2" i="85"/>
  <c r="B963" i="94"/>
  <c r="B797" i="94"/>
  <c r="B771" i="94"/>
  <c r="B639" i="94"/>
  <c r="B454" i="94"/>
  <c r="B343" i="94"/>
  <c r="B678" i="94"/>
  <c r="B252" i="94"/>
  <c r="B758" i="94"/>
  <c r="B212" i="94"/>
  <c r="B54" i="94"/>
  <c r="B382" i="94"/>
  <c r="B409" i="94"/>
  <c r="B439" i="94"/>
  <c r="B225" i="94"/>
  <c r="B495" i="94"/>
  <c r="D47" i="86"/>
  <c r="I2" i="87"/>
  <c r="B621" i="94"/>
  <c r="B464" i="94"/>
  <c r="B434" i="94"/>
  <c r="B23" i="94"/>
  <c r="B634" i="94"/>
  <c r="B419" i="94"/>
  <c r="B364" i="94"/>
  <c r="B233" i="94"/>
  <c r="B286" i="94"/>
  <c r="D33" i="86"/>
  <c r="D57" i="86"/>
  <c r="R20" i="74"/>
  <c r="I19" i="78"/>
  <c r="U20" i="73"/>
  <c r="S22" i="74"/>
  <c r="M36" i="94"/>
  <c r="E41" i="94"/>
  <c r="I41" i="94"/>
  <c r="H19" i="78"/>
  <c r="L449" i="94"/>
  <c r="V103" i="84"/>
  <c r="L120" i="84"/>
  <c r="D53" i="83"/>
  <c r="D73" i="83"/>
  <c r="D48" i="83"/>
  <c r="K20" i="84"/>
  <c r="J20" i="84"/>
  <c r="J126" i="94"/>
  <c r="L19" i="84"/>
  <c r="L113" i="94"/>
  <c r="K19" i="84"/>
  <c r="K113" i="94"/>
  <c r="I19" i="84"/>
  <c r="I113" i="94"/>
  <c r="D14" i="83"/>
  <c r="L46" i="94"/>
  <c r="K46" i="94"/>
  <c r="J46" i="94"/>
  <c r="I46" i="94"/>
  <c r="H46" i="94"/>
  <c r="G46" i="94"/>
  <c r="E46" i="94"/>
  <c r="M7" i="84"/>
  <c r="B6" i="84"/>
  <c r="B4" i="84"/>
  <c r="B3" i="84"/>
  <c r="B2" i="84"/>
  <c r="B871" i="94"/>
  <c r="E66" i="83"/>
  <c r="E61" i="83"/>
  <c r="E38" i="83"/>
  <c r="D37" i="83"/>
  <c r="E20" i="83"/>
  <c r="E15" i="83"/>
  <c r="A5" i="83"/>
  <c r="A3" i="83"/>
  <c r="A2" i="83"/>
  <c r="A1" i="83"/>
  <c r="G2" i="83"/>
  <c r="C56" i="82"/>
  <c r="C14" i="82"/>
  <c r="C13" i="82"/>
  <c r="C12" i="82"/>
  <c r="C11" i="82"/>
  <c r="A3" i="82"/>
  <c r="A2" i="82"/>
  <c r="F46" i="94"/>
  <c r="M41" i="94"/>
  <c r="M46" i="94"/>
  <c r="L21" i="73"/>
  <c r="M22" i="73"/>
  <c r="A17" i="81"/>
  <c r="M21" i="73"/>
  <c r="P22" i="73"/>
  <c r="O22" i="73"/>
  <c r="N22" i="73"/>
  <c r="L22" i="73"/>
  <c r="P21" i="73"/>
  <c r="O21" i="73"/>
  <c r="N21" i="73"/>
  <c r="C20" i="86"/>
  <c r="C20" i="91"/>
  <c r="C54" i="91"/>
  <c r="C54" i="86"/>
  <c r="C15" i="86"/>
  <c r="C15" i="91"/>
  <c r="B3" i="58"/>
  <c r="U103" i="14"/>
  <c r="S11" i="74"/>
  <c r="B2" i="14"/>
  <c r="B292" i="94"/>
  <c r="A1" i="2"/>
  <c r="B919" i="94"/>
  <c r="A12" i="57"/>
  <c r="B575" i="94"/>
  <c r="B839" i="94"/>
  <c r="B68" i="94"/>
  <c r="B331" i="94"/>
  <c r="P17" i="73"/>
  <c r="O17" i="73"/>
  <c r="N17" i="73"/>
  <c r="M17" i="73"/>
  <c r="L17" i="73"/>
  <c r="K17" i="73"/>
  <c r="J17" i="73"/>
  <c r="I17" i="73"/>
  <c r="H17" i="73"/>
  <c r="G17" i="73"/>
  <c r="P15" i="73"/>
  <c r="O15" i="73"/>
  <c r="N15" i="73"/>
  <c r="M15" i="73"/>
  <c r="L15" i="73"/>
  <c r="K15" i="73"/>
  <c r="J15" i="73"/>
  <c r="I15" i="73"/>
  <c r="H15" i="73"/>
  <c r="G15" i="73"/>
  <c r="E24" i="80"/>
  <c r="C24" i="80"/>
  <c r="E19" i="80"/>
  <c r="E18" i="80"/>
  <c r="E17" i="80"/>
  <c r="E16" i="80"/>
  <c r="E15" i="80"/>
  <c r="E14" i="80"/>
  <c r="E13" i="80"/>
  <c r="E12" i="80"/>
  <c r="E11" i="80"/>
  <c r="O20" i="65"/>
  <c r="O24" i="65"/>
  <c r="M20" i="65"/>
  <c r="M24" i="65"/>
  <c r="E66" i="51"/>
  <c r="E61" i="51"/>
  <c r="E38" i="51"/>
  <c r="E20" i="51"/>
  <c r="E15" i="51"/>
  <c r="E66" i="46"/>
  <c r="E61" i="46"/>
  <c r="E38" i="46"/>
  <c r="E20" i="46"/>
  <c r="E15" i="46"/>
  <c r="E66" i="41"/>
  <c r="E61" i="41"/>
  <c r="E38" i="41"/>
  <c r="E20" i="41"/>
  <c r="E15" i="41"/>
  <c r="E66" i="36"/>
  <c r="E61" i="36"/>
  <c r="E38" i="36"/>
  <c r="E20" i="36"/>
  <c r="E15" i="36"/>
  <c r="E66" i="31"/>
  <c r="E61" i="31"/>
  <c r="E38" i="31"/>
  <c r="E20" i="31"/>
  <c r="E15" i="31"/>
  <c r="E66" i="26"/>
  <c r="E61" i="26"/>
  <c r="E38" i="26"/>
  <c r="E20" i="26"/>
  <c r="E15" i="26"/>
  <c r="E66" i="21"/>
  <c r="E61" i="21"/>
  <c r="E38" i="21"/>
  <c r="E20" i="21"/>
  <c r="E15" i="21"/>
  <c r="E66" i="16"/>
  <c r="E61" i="16"/>
  <c r="E38" i="16"/>
  <c r="E20" i="16"/>
  <c r="E15" i="16"/>
  <c r="E66" i="2"/>
  <c r="E61" i="2"/>
  <c r="E38" i="2"/>
  <c r="E20" i="2"/>
  <c r="E15" i="2"/>
  <c r="F19" i="70"/>
  <c r="E78" i="57"/>
  <c r="E73" i="57"/>
  <c r="E50" i="57"/>
  <c r="E32" i="57"/>
  <c r="E27" i="57"/>
  <c r="U103" i="62"/>
  <c r="J18" i="78" s="1"/>
  <c r="U103" i="47"/>
  <c r="U103" i="42"/>
  <c r="U103" i="37"/>
  <c r="U103" i="32"/>
  <c r="U103" i="27"/>
  <c r="S14" i="74"/>
  <c r="U103" i="22"/>
  <c r="U103" i="17"/>
  <c r="G115" i="71"/>
  <c r="F115" i="71"/>
  <c r="D26" i="62"/>
  <c r="D26" i="47"/>
  <c r="D205" i="94"/>
  <c r="D26" i="42"/>
  <c r="D201" i="94"/>
  <c r="D26" i="37"/>
  <c r="D202" i="94"/>
  <c r="D26" i="32"/>
  <c r="D198" i="94"/>
  <c r="D26" i="27"/>
  <c r="D196" i="94"/>
  <c r="D26" i="14"/>
  <c r="D200" i="94"/>
  <c r="D26" i="22"/>
  <c r="D195" i="94"/>
  <c r="M105" i="62"/>
  <c r="M105" i="47"/>
  <c r="L112" i="47"/>
  <c r="M105" i="42"/>
  <c r="M105" i="37"/>
  <c r="M105" i="32"/>
  <c r="M105" i="27"/>
  <c r="M105" i="22"/>
  <c r="M105" i="17"/>
  <c r="M105" i="14"/>
  <c r="L112" i="14"/>
  <c r="D11" i="74"/>
  <c r="D14" i="74"/>
  <c r="D15" i="74"/>
  <c r="D13" i="74"/>
  <c r="D16" i="74"/>
  <c r="D12" i="74"/>
  <c r="D18" i="74"/>
  <c r="D19" i="74"/>
  <c r="D17" i="74"/>
  <c r="D19" i="73"/>
  <c r="D18" i="73"/>
  <c r="D17" i="73"/>
  <c r="D16" i="73"/>
  <c r="D15" i="73"/>
  <c r="D14" i="73"/>
  <c r="D13" i="73"/>
  <c r="D12" i="73"/>
  <c r="D11" i="73"/>
  <c r="B93" i="65"/>
  <c r="Q24" i="73"/>
  <c r="Q43" i="73" s="1"/>
  <c r="R103" i="62"/>
  <c r="P103" i="62"/>
  <c r="L97" i="62"/>
  <c r="L922" i="94"/>
  <c r="K97" i="62"/>
  <c r="K922" i="94"/>
  <c r="J97" i="62"/>
  <c r="J922" i="94" s="1"/>
  <c r="J925" i="94" s="1"/>
  <c r="J1070" i="94" s="1"/>
  <c r="I97" i="62"/>
  <c r="I922" i="94"/>
  <c r="H97" i="62"/>
  <c r="H922" i="94"/>
  <c r="G97" i="62"/>
  <c r="G922" i="94"/>
  <c r="F97" i="62"/>
  <c r="E97" i="62"/>
  <c r="E922" i="94"/>
  <c r="D97" i="62"/>
  <c r="D922" i="94" s="1"/>
  <c r="L96" i="62"/>
  <c r="L909" i="94"/>
  <c r="K96" i="62"/>
  <c r="K909" i="94"/>
  <c r="J96" i="62"/>
  <c r="J909" i="94"/>
  <c r="I96" i="62"/>
  <c r="I909" i="94" s="1"/>
  <c r="H96" i="62"/>
  <c r="H909" i="94"/>
  <c r="G96" i="62"/>
  <c r="F96" i="62"/>
  <c r="F909" i="94" s="1"/>
  <c r="F912" i="94" s="1"/>
  <c r="F1069" i="94" s="1"/>
  <c r="E96" i="62"/>
  <c r="E909" i="94"/>
  <c r="D96" i="62"/>
  <c r="D909" i="94"/>
  <c r="L95" i="62"/>
  <c r="L896" i="94"/>
  <c r="K95" i="62"/>
  <c r="K896" i="94" s="1"/>
  <c r="K899" i="94" s="1"/>
  <c r="K1068" i="94" s="1"/>
  <c r="J95" i="62"/>
  <c r="I95" i="62"/>
  <c r="I896" i="94" s="1"/>
  <c r="I899" i="94" s="1"/>
  <c r="I1068" i="94" s="1"/>
  <c r="H95" i="62"/>
  <c r="H896" i="94"/>
  <c r="G95" i="62"/>
  <c r="G896" i="94"/>
  <c r="F95" i="62"/>
  <c r="F896" i="94"/>
  <c r="E95" i="62"/>
  <c r="E896" i="94" s="1"/>
  <c r="D95" i="62"/>
  <c r="D896" i="94"/>
  <c r="L94" i="62"/>
  <c r="L883" i="94"/>
  <c r="K94" i="62"/>
  <c r="K883" i="94"/>
  <c r="J94" i="62"/>
  <c r="J883" i="94" s="1"/>
  <c r="J886" i="94" s="1"/>
  <c r="J1067" i="94" s="1"/>
  <c r="I94" i="62"/>
  <c r="I883" i="94"/>
  <c r="H94" i="62"/>
  <c r="H883" i="94"/>
  <c r="G94" i="62"/>
  <c r="G883" i="94"/>
  <c r="F94" i="62"/>
  <c r="F883" i="94" s="1"/>
  <c r="F886" i="94" s="1"/>
  <c r="F1067" i="94" s="1"/>
  <c r="E94" i="62"/>
  <c r="E883" i="94"/>
  <c r="D94" i="62"/>
  <c r="D883" i="94"/>
  <c r="L93" i="62"/>
  <c r="L870" i="94"/>
  <c r="K93" i="62"/>
  <c r="K870" i="94" s="1"/>
  <c r="J93" i="62"/>
  <c r="J870" i="94"/>
  <c r="I93" i="62"/>
  <c r="I870" i="94"/>
  <c r="H93" i="62"/>
  <c r="H870" i="94"/>
  <c r="G93" i="62"/>
  <c r="G870" i="94" s="1"/>
  <c r="F93" i="62"/>
  <c r="F870" i="94"/>
  <c r="E93" i="62"/>
  <c r="E870" i="94"/>
  <c r="D93" i="62"/>
  <c r="D870" i="94"/>
  <c r="L88" i="62"/>
  <c r="L829" i="94" s="1"/>
  <c r="K88" i="62"/>
  <c r="K829" i="94"/>
  <c r="J88" i="62"/>
  <c r="J829" i="94"/>
  <c r="I88" i="62"/>
  <c r="I829" i="94"/>
  <c r="H88" i="62"/>
  <c r="H829" i="94" s="1"/>
  <c r="G88" i="62"/>
  <c r="F88" i="62"/>
  <c r="F829" i="94" s="1"/>
  <c r="E88" i="62"/>
  <c r="E829" i="94" s="1"/>
  <c r="D88" i="62"/>
  <c r="D829" i="94"/>
  <c r="S87" i="62"/>
  <c r="L121" i="62" s="1"/>
  <c r="L87" i="62"/>
  <c r="L816" i="94" s="1"/>
  <c r="K87" i="62"/>
  <c r="K816" i="94" s="1"/>
  <c r="J87" i="62"/>
  <c r="J816" i="94"/>
  <c r="I87" i="62"/>
  <c r="I816" i="94" s="1"/>
  <c r="H87" i="62"/>
  <c r="H816" i="94" s="1"/>
  <c r="G87" i="62"/>
  <c r="G816" i="94" s="1"/>
  <c r="F87" i="62"/>
  <c r="F816" i="94"/>
  <c r="E87" i="62"/>
  <c r="E816" i="94" s="1"/>
  <c r="D87" i="62"/>
  <c r="D816" i="94" s="1"/>
  <c r="S84" i="62"/>
  <c r="L83" i="62"/>
  <c r="L788" i="94"/>
  <c r="K83" i="62"/>
  <c r="K788" i="94"/>
  <c r="J83" i="62"/>
  <c r="J788" i="94"/>
  <c r="I83" i="62"/>
  <c r="I788" i="94"/>
  <c r="H83" i="62"/>
  <c r="H788" i="94"/>
  <c r="G83" i="62"/>
  <c r="G788" i="94"/>
  <c r="F83" i="62"/>
  <c r="F788" i="94"/>
  <c r="E83" i="62"/>
  <c r="E788" i="94"/>
  <c r="D83" i="62"/>
  <c r="D788" i="94"/>
  <c r="L82" i="62"/>
  <c r="L775" i="94"/>
  <c r="K82" i="62"/>
  <c r="K775" i="94"/>
  <c r="J82" i="62"/>
  <c r="J775" i="94"/>
  <c r="I82" i="62"/>
  <c r="I775" i="94"/>
  <c r="H82" i="62"/>
  <c r="H775" i="94"/>
  <c r="G82" i="62"/>
  <c r="G775" i="94"/>
  <c r="F82" i="62"/>
  <c r="F775" i="94"/>
  <c r="E82" i="62"/>
  <c r="E775" i="94"/>
  <c r="D82" i="62"/>
  <c r="D775" i="94"/>
  <c r="L81" i="62"/>
  <c r="L762" i="94"/>
  <c r="K81" i="62"/>
  <c r="K762" i="94"/>
  <c r="J81" i="62"/>
  <c r="J762" i="94"/>
  <c r="I81" i="62"/>
  <c r="I762" i="94"/>
  <c r="H81" i="62"/>
  <c r="H762" i="94"/>
  <c r="G81" i="62"/>
  <c r="F81" i="62"/>
  <c r="F762" i="94" s="1"/>
  <c r="F765" i="94" s="1"/>
  <c r="E81" i="62"/>
  <c r="E762" i="94" s="1"/>
  <c r="D81" i="62"/>
  <c r="D762" i="94" s="1"/>
  <c r="L80" i="62"/>
  <c r="K80" i="62"/>
  <c r="K749" i="94"/>
  <c r="J80" i="62"/>
  <c r="I80" i="62"/>
  <c r="H80" i="62"/>
  <c r="G80" i="62"/>
  <c r="G749" i="94" s="1"/>
  <c r="F80" i="62"/>
  <c r="D57" i="51"/>
  <c r="E80" i="62"/>
  <c r="E749" i="94" s="1"/>
  <c r="D80" i="62"/>
  <c r="D749" i="94"/>
  <c r="S77" i="62"/>
  <c r="S76" i="62"/>
  <c r="L76" i="62"/>
  <c r="L721" i="94"/>
  <c r="K76" i="62"/>
  <c r="K721" i="94" s="1"/>
  <c r="J76" i="62"/>
  <c r="J721" i="94"/>
  <c r="I76" i="62"/>
  <c r="I721" i="94" s="1"/>
  <c r="I724" i="94" s="1"/>
  <c r="I1049" i="94" s="1"/>
  <c r="H76" i="62"/>
  <c r="H721" i="94"/>
  <c r="G76" i="62"/>
  <c r="F76" i="62"/>
  <c r="F721" i="94" s="1"/>
  <c r="E76" i="62"/>
  <c r="E721" i="94"/>
  <c r="D76" i="62"/>
  <c r="D721" i="94" s="1"/>
  <c r="L75" i="62"/>
  <c r="L708" i="94"/>
  <c r="K75" i="62"/>
  <c r="K708" i="94"/>
  <c r="J75" i="62"/>
  <c r="J708" i="94"/>
  <c r="I75" i="62"/>
  <c r="I708" i="94"/>
  <c r="H75" i="62"/>
  <c r="H708" i="94"/>
  <c r="G75" i="62"/>
  <c r="G708" i="94"/>
  <c r="F75" i="62"/>
  <c r="F708" i="94"/>
  <c r="E75" i="62"/>
  <c r="E708" i="94"/>
  <c r="D75" i="62"/>
  <c r="D708" i="94"/>
  <c r="X74" i="62"/>
  <c r="P74" i="62"/>
  <c r="L74" i="62"/>
  <c r="L695" i="94"/>
  <c r="K74" i="62"/>
  <c r="K695" i="94"/>
  <c r="J74" i="62"/>
  <c r="J695" i="94"/>
  <c r="I74" i="62"/>
  <c r="I695" i="94"/>
  <c r="H74" i="62"/>
  <c r="H695" i="94"/>
  <c r="G74" i="62"/>
  <c r="G695" i="94"/>
  <c r="F74" i="62"/>
  <c r="F695" i="94"/>
  <c r="E74" i="62"/>
  <c r="E695" i="94"/>
  <c r="D74" i="62"/>
  <c r="D695" i="94"/>
  <c r="X73" i="62"/>
  <c r="R73" i="62"/>
  <c r="Q73" i="62"/>
  <c r="P73" i="62"/>
  <c r="L73" i="62"/>
  <c r="L682" i="94"/>
  <c r="K73" i="62"/>
  <c r="K682" i="94"/>
  <c r="J73" i="62"/>
  <c r="J682" i="94"/>
  <c r="I73" i="62"/>
  <c r="I682" i="94"/>
  <c r="H73" i="62"/>
  <c r="H682" i="94"/>
  <c r="G73" i="62"/>
  <c r="F73" i="62"/>
  <c r="F682" i="94" s="1"/>
  <c r="E73" i="62"/>
  <c r="E682" i="94" s="1"/>
  <c r="D73" i="62"/>
  <c r="D682" i="94" s="1"/>
  <c r="X72" i="62"/>
  <c r="R72" i="62"/>
  <c r="Q72" i="62"/>
  <c r="P72" i="62"/>
  <c r="L72" i="62"/>
  <c r="L669" i="94" s="1"/>
  <c r="L672" i="94" s="1"/>
  <c r="L1045" i="94" s="1"/>
  <c r="K72" i="62"/>
  <c r="K669" i="94" s="1"/>
  <c r="J72" i="62"/>
  <c r="J669" i="94" s="1"/>
  <c r="J672" i="94" s="1"/>
  <c r="J1045" i="94" s="1"/>
  <c r="I72" i="62"/>
  <c r="I669" i="94" s="1"/>
  <c r="H72" i="62"/>
  <c r="H669" i="94" s="1"/>
  <c r="G72" i="62"/>
  <c r="G669" i="94" s="1"/>
  <c r="F72" i="62"/>
  <c r="F669" i="94" s="1"/>
  <c r="E72" i="62"/>
  <c r="E669" i="94" s="1"/>
  <c r="D72" i="62"/>
  <c r="D669" i="94" s="1"/>
  <c r="D672" i="94" s="1"/>
  <c r="D1045" i="94" s="1"/>
  <c r="X71" i="62"/>
  <c r="R71" i="62"/>
  <c r="Q71" i="62"/>
  <c r="P71" i="62"/>
  <c r="L71" i="62"/>
  <c r="L656" i="94" s="1"/>
  <c r="K71" i="62"/>
  <c r="K656" i="94" s="1"/>
  <c r="J71" i="62"/>
  <c r="J656" i="94" s="1"/>
  <c r="I71" i="62"/>
  <c r="I656" i="94"/>
  <c r="H71" i="62"/>
  <c r="H656" i="94" s="1"/>
  <c r="G71" i="62"/>
  <c r="G656" i="94" s="1"/>
  <c r="F71" i="62"/>
  <c r="F656" i="94" s="1"/>
  <c r="E71" i="62"/>
  <c r="E656" i="94"/>
  <c r="D71" i="62"/>
  <c r="X70" i="62"/>
  <c r="R70" i="62"/>
  <c r="Q70" i="62"/>
  <c r="P70" i="62"/>
  <c r="L70" i="62"/>
  <c r="L643" i="94"/>
  <c r="K70" i="62"/>
  <c r="K643" i="94"/>
  <c r="J70" i="62"/>
  <c r="J643" i="94"/>
  <c r="I70" i="62"/>
  <c r="I643" i="94"/>
  <c r="H70" i="62"/>
  <c r="H643" i="94"/>
  <c r="G70" i="62"/>
  <c r="G643" i="94"/>
  <c r="F70" i="62"/>
  <c r="F643" i="94"/>
  <c r="E70" i="62"/>
  <c r="E643" i="94"/>
  <c r="D70" i="62"/>
  <c r="X69" i="62"/>
  <c r="R69" i="62"/>
  <c r="Q69" i="62"/>
  <c r="P69" i="62"/>
  <c r="L69" i="62"/>
  <c r="L630" i="94"/>
  <c r="K69" i="62"/>
  <c r="K630" i="94" s="1"/>
  <c r="J69" i="62"/>
  <c r="J630" i="94"/>
  <c r="I69" i="62"/>
  <c r="I630" i="94" s="1"/>
  <c r="I633" i="94" s="1"/>
  <c r="I1042" i="94" s="1"/>
  <c r="H69" i="62"/>
  <c r="H630" i="94"/>
  <c r="G69" i="62"/>
  <c r="G630" i="94" s="1"/>
  <c r="G633" i="94" s="1"/>
  <c r="G1042" i="94" s="1"/>
  <c r="F69" i="62"/>
  <c r="E69" i="62"/>
  <c r="E630" i="94"/>
  <c r="D69" i="62"/>
  <c r="D630" i="94" s="1"/>
  <c r="X68" i="62"/>
  <c r="R68" i="62"/>
  <c r="Q68" i="62"/>
  <c r="P68" i="62"/>
  <c r="E17" i="95"/>
  <c r="L68" i="62"/>
  <c r="L617" i="94"/>
  <c r="K68" i="62"/>
  <c r="K617" i="94"/>
  <c r="J68" i="62"/>
  <c r="J617" i="94" s="1"/>
  <c r="I68" i="62"/>
  <c r="I617" i="94"/>
  <c r="H68" i="62"/>
  <c r="H617" i="94"/>
  <c r="G68" i="62"/>
  <c r="G617" i="94"/>
  <c r="F68" i="62"/>
  <c r="F617" i="94" s="1"/>
  <c r="E68" i="62"/>
  <c r="E617" i="94"/>
  <c r="D68" i="62"/>
  <c r="D617" i="94"/>
  <c r="X67" i="62"/>
  <c r="R67" i="62"/>
  <c r="Q67" i="62"/>
  <c r="P67" i="62"/>
  <c r="L67" i="62"/>
  <c r="L604" i="94"/>
  <c r="K67" i="62"/>
  <c r="K604" i="94"/>
  <c r="J67" i="62"/>
  <c r="J604" i="94"/>
  <c r="I67" i="62"/>
  <c r="I604" i="94" s="1"/>
  <c r="H67" i="62"/>
  <c r="G67" i="62"/>
  <c r="G604" i="94" s="1"/>
  <c r="F67" i="62"/>
  <c r="F604" i="94" s="1"/>
  <c r="E67" i="62"/>
  <c r="E604" i="94"/>
  <c r="D67" i="62"/>
  <c r="D604" i="94" s="1"/>
  <c r="X66" i="62"/>
  <c r="R66" i="62"/>
  <c r="Q66" i="62"/>
  <c r="P66" i="62"/>
  <c r="L66" i="62"/>
  <c r="L591" i="94"/>
  <c r="K66" i="62"/>
  <c r="K591" i="94"/>
  <c r="J66" i="62"/>
  <c r="J591" i="94"/>
  <c r="I66" i="62"/>
  <c r="I591" i="94"/>
  <c r="H66" i="62"/>
  <c r="H591" i="94"/>
  <c r="G66" i="62"/>
  <c r="F66" i="62"/>
  <c r="F591" i="94" s="1"/>
  <c r="E66" i="62"/>
  <c r="E591" i="94" s="1"/>
  <c r="D66" i="62"/>
  <c r="D591" i="94" s="1"/>
  <c r="X65" i="62"/>
  <c r="R65" i="62"/>
  <c r="Q65" i="62"/>
  <c r="P65" i="62"/>
  <c r="L65" i="62"/>
  <c r="K65" i="62"/>
  <c r="K578" i="94"/>
  <c r="J65" i="62"/>
  <c r="J578" i="94"/>
  <c r="I65" i="62"/>
  <c r="I578" i="94"/>
  <c r="H65" i="62"/>
  <c r="H578" i="94"/>
  <c r="G65" i="62"/>
  <c r="G578" i="94"/>
  <c r="F65" i="62"/>
  <c r="F578" i="94"/>
  <c r="E65" i="62"/>
  <c r="E578" i="94"/>
  <c r="D65" i="62"/>
  <c r="D578" i="94"/>
  <c r="L61" i="62"/>
  <c r="L538" i="94"/>
  <c r="K61" i="62"/>
  <c r="K538" i="94"/>
  <c r="J61" i="62"/>
  <c r="J538" i="94"/>
  <c r="I61" i="62"/>
  <c r="I538" i="94"/>
  <c r="H61" i="62"/>
  <c r="H538" i="94"/>
  <c r="G61" i="62"/>
  <c r="G538" i="94"/>
  <c r="F61" i="62"/>
  <c r="F538" i="94"/>
  <c r="F541" i="94" s="1"/>
  <c r="D49" i="57" s="1"/>
  <c r="E61" i="62"/>
  <c r="E538" i="94"/>
  <c r="D61" i="62"/>
  <c r="D538" i="94"/>
  <c r="L60" i="62"/>
  <c r="L525" i="94"/>
  <c r="K60" i="62"/>
  <c r="K525" i="94"/>
  <c r="J60" i="62"/>
  <c r="J525" i="94"/>
  <c r="I60" i="62"/>
  <c r="I525" i="94"/>
  <c r="H60" i="62"/>
  <c r="H525" i="94"/>
  <c r="G60" i="62"/>
  <c r="G525" i="94"/>
  <c r="F60" i="62"/>
  <c r="F525" i="94"/>
  <c r="F528" i="94" s="1"/>
  <c r="D48" i="57" s="1"/>
  <c r="E60" i="62"/>
  <c r="E525" i="94"/>
  <c r="D60" i="62"/>
  <c r="D525" i="94"/>
  <c r="L59" i="62"/>
  <c r="L512" i="94"/>
  <c r="K59" i="62"/>
  <c r="K512" i="94"/>
  <c r="J59" i="62"/>
  <c r="J512" i="94"/>
  <c r="I59" i="62"/>
  <c r="I512" i="94"/>
  <c r="H59" i="62"/>
  <c r="H512" i="94"/>
  <c r="G59" i="62"/>
  <c r="G512" i="94"/>
  <c r="F59" i="62"/>
  <c r="F512" i="94"/>
  <c r="F515" i="94" s="1"/>
  <c r="D47" i="57" s="1"/>
  <c r="E59" i="62"/>
  <c r="E512" i="94"/>
  <c r="D59" i="62"/>
  <c r="L58" i="62"/>
  <c r="L499" i="94" s="1"/>
  <c r="K58" i="62"/>
  <c r="K499" i="94" s="1"/>
  <c r="J58" i="62"/>
  <c r="J499" i="94" s="1"/>
  <c r="I58" i="62"/>
  <c r="I499" i="94" s="1"/>
  <c r="I502" i="94" s="1"/>
  <c r="I1030" i="94" s="1"/>
  <c r="H58" i="62"/>
  <c r="H499" i="94" s="1"/>
  <c r="G58" i="62"/>
  <c r="G499" i="94" s="1"/>
  <c r="F58" i="62"/>
  <c r="E58" i="62"/>
  <c r="D58" i="62"/>
  <c r="D499" i="94" s="1"/>
  <c r="L57" i="62"/>
  <c r="L486" i="94" s="1"/>
  <c r="K57" i="62"/>
  <c r="K486" i="94" s="1"/>
  <c r="J57" i="62"/>
  <c r="J486" i="94" s="1"/>
  <c r="I57" i="62"/>
  <c r="H57" i="62"/>
  <c r="H486" i="94"/>
  <c r="G57" i="62"/>
  <c r="F57" i="62"/>
  <c r="F486" i="94" s="1"/>
  <c r="F489" i="94" s="1"/>
  <c r="D45" i="57" s="1"/>
  <c r="E57" i="62"/>
  <c r="E486" i="94" s="1"/>
  <c r="D57" i="62"/>
  <c r="D486" i="94" s="1"/>
  <c r="D489" i="94" s="1"/>
  <c r="D1029" i="94" s="1"/>
  <c r="L56" i="62"/>
  <c r="L473" i="94" s="1"/>
  <c r="K56" i="62"/>
  <c r="K473" i="94" s="1"/>
  <c r="J56" i="62"/>
  <c r="I56" i="62"/>
  <c r="H56" i="62"/>
  <c r="H473" i="94" s="1"/>
  <c r="H476" i="94" s="1"/>
  <c r="H1028" i="94" s="1"/>
  <c r="G56" i="62"/>
  <c r="G473" i="94" s="1"/>
  <c r="F56" i="62"/>
  <c r="F473" i="94" s="1"/>
  <c r="F476" i="94" s="1"/>
  <c r="D44" i="57" s="1"/>
  <c r="E56" i="62"/>
  <c r="E473" i="94" s="1"/>
  <c r="D56" i="62"/>
  <c r="D473" i="94" s="1"/>
  <c r="L53" i="62"/>
  <c r="K53" i="62"/>
  <c r="K458" i="94"/>
  <c r="J53" i="62"/>
  <c r="J458" i="94"/>
  <c r="I53" i="62"/>
  <c r="I458" i="94"/>
  <c r="H53" i="62"/>
  <c r="H458" i="94"/>
  <c r="G53" i="62"/>
  <c r="G458" i="94"/>
  <c r="F53" i="62"/>
  <c r="F458" i="94"/>
  <c r="E53" i="62"/>
  <c r="E458" i="94"/>
  <c r="D53" i="62"/>
  <c r="D458" i="94"/>
  <c r="L50" i="62"/>
  <c r="L443" i="94"/>
  <c r="K50" i="62"/>
  <c r="K443" i="94"/>
  <c r="J50" i="62"/>
  <c r="J443" i="94"/>
  <c r="I50" i="62"/>
  <c r="I443" i="94"/>
  <c r="H50" i="62"/>
  <c r="H443" i="94"/>
  <c r="G50" i="62"/>
  <c r="G443" i="94"/>
  <c r="F50" i="62"/>
  <c r="F443" i="94"/>
  <c r="E50" i="62"/>
  <c r="E443" i="94"/>
  <c r="D50" i="62"/>
  <c r="D443" i="94"/>
  <c r="L47" i="62"/>
  <c r="L428" i="94"/>
  <c r="K47" i="62"/>
  <c r="K428" i="94"/>
  <c r="J47" i="62"/>
  <c r="J428" i="94"/>
  <c r="I47" i="62"/>
  <c r="I428" i="94"/>
  <c r="H47" i="62"/>
  <c r="H428" i="94"/>
  <c r="G47" i="62"/>
  <c r="G428" i="94"/>
  <c r="F47" i="62"/>
  <c r="F428" i="94"/>
  <c r="F431" i="94" s="1"/>
  <c r="D35" i="57" s="1"/>
  <c r="E47" i="62"/>
  <c r="E428" i="94"/>
  <c r="D47" i="62"/>
  <c r="D428" i="94"/>
  <c r="L41" i="62"/>
  <c r="K41" i="62"/>
  <c r="K386" i="94" s="1"/>
  <c r="K389" i="94" s="1"/>
  <c r="K1013" i="94" s="1"/>
  <c r="J41" i="62"/>
  <c r="J386" i="94" s="1"/>
  <c r="I41" i="62"/>
  <c r="I386" i="94" s="1"/>
  <c r="I389" i="94" s="1"/>
  <c r="I1013" i="94" s="1"/>
  <c r="H41" i="62"/>
  <c r="H386" i="94" s="1"/>
  <c r="H389" i="94" s="1"/>
  <c r="H1013" i="94" s="1"/>
  <c r="G41" i="62"/>
  <c r="G386" i="94" s="1"/>
  <c r="F41" i="62"/>
  <c r="F386" i="94" s="1"/>
  <c r="F389" i="94" s="1"/>
  <c r="F1013" i="94" s="1"/>
  <c r="E41" i="62"/>
  <c r="E386" i="94" s="1"/>
  <c r="E389" i="94" s="1"/>
  <c r="E1013" i="94" s="1"/>
  <c r="D41" i="62"/>
  <c r="D386" i="94" s="1"/>
  <c r="D389" i="94" s="1"/>
  <c r="D1013" i="94" s="1"/>
  <c r="L40" i="62"/>
  <c r="L373" i="94" s="1"/>
  <c r="K40" i="62"/>
  <c r="K373" i="94" s="1"/>
  <c r="K376" i="94" s="1"/>
  <c r="K1012" i="94" s="1"/>
  <c r="J40" i="62"/>
  <c r="J373" i="94" s="1"/>
  <c r="I40" i="62"/>
  <c r="I373" i="94" s="1"/>
  <c r="H40" i="62"/>
  <c r="H373" i="94" s="1"/>
  <c r="G40" i="62"/>
  <c r="G373" i="94" s="1"/>
  <c r="F40" i="62"/>
  <c r="F373" i="94" s="1"/>
  <c r="E40" i="62"/>
  <c r="E373" i="94" s="1"/>
  <c r="E376" i="94" s="1"/>
  <c r="E1012" i="94" s="1"/>
  <c r="D40" i="62"/>
  <c r="D373" i="94" s="1"/>
  <c r="L39" i="62"/>
  <c r="L360" i="94" s="1"/>
  <c r="L363" i="94" s="1"/>
  <c r="L1011" i="94" s="1"/>
  <c r="K39" i="62"/>
  <c r="K360" i="94" s="1"/>
  <c r="J39" i="62"/>
  <c r="J360" i="94"/>
  <c r="I39" i="62"/>
  <c r="I360" i="94" s="1"/>
  <c r="I363" i="94" s="1"/>
  <c r="I1011" i="94" s="1"/>
  <c r="H39" i="62"/>
  <c r="H360" i="94"/>
  <c r="G39" i="62"/>
  <c r="G360" i="94" s="1"/>
  <c r="F39" i="62"/>
  <c r="F360" i="94" s="1"/>
  <c r="F363" i="94" s="1"/>
  <c r="F1011" i="94" s="1"/>
  <c r="E39" i="62"/>
  <c r="E360" i="94" s="1"/>
  <c r="D39" i="62"/>
  <c r="D360" i="94"/>
  <c r="L38" i="62"/>
  <c r="L347" i="94" s="1"/>
  <c r="L350" i="94" s="1"/>
  <c r="L1010" i="94" s="1"/>
  <c r="K38" i="62"/>
  <c r="K347" i="94"/>
  <c r="J38" i="62"/>
  <c r="J347" i="94" s="1"/>
  <c r="I38" i="62"/>
  <c r="I347" i="94"/>
  <c r="H38" i="62"/>
  <c r="H347" i="94" s="1"/>
  <c r="G38" i="62"/>
  <c r="G347" i="94"/>
  <c r="F38" i="62"/>
  <c r="F347" i="94" s="1"/>
  <c r="F350" i="94" s="1"/>
  <c r="F1010" i="94" s="1"/>
  <c r="E38" i="62"/>
  <c r="E347" i="94"/>
  <c r="D38" i="62"/>
  <c r="L37" i="62"/>
  <c r="L334" i="94" s="1"/>
  <c r="L337" i="94" s="1"/>
  <c r="L1009" i="94" s="1"/>
  <c r="K37" i="62"/>
  <c r="K334" i="94"/>
  <c r="J37" i="62"/>
  <c r="J334" i="94" s="1"/>
  <c r="I37" i="62"/>
  <c r="I334" i="94"/>
  <c r="H37" i="62"/>
  <c r="H334" i="94" s="1"/>
  <c r="G37" i="62"/>
  <c r="G334" i="94"/>
  <c r="F37" i="62"/>
  <c r="F334" i="94" s="1"/>
  <c r="E37" i="62"/>
  <c r="E334" i="94"/>
  <c r="D37" i="62"/>
  <c r="D334" i="94" s="1"/>
  <c r="L36" i="62"/>
  <c r="L321" i="94"/>
  <c r="K36" i="62"/>
  <c r="J36" i="62"/>
  <c r="I36" i="62"/>
  <c r="I321" i="94"/>
  <c r="H36" i="62"/>
  <c r="G36" i="62"/>
  <c r="G321" i="94"/>
  <c r="F36" i="62"/>
  <c r="F321" i="94" s="1"/>
  <c r="E36" i="62"/>
  <c r="E321" i="94"/>
  <c r="D36" i="62"/>
  <c r="D321" i="94" s="1"/>
  <c r="L35" i="62"/>
  <c r="L308" i="94"/>
  <c r="K35" i="62"/>
  <c r="K308" i="94" s="1"/>
  <c r="J35" i="62"/>
  <c r="J308" i="94"/>
  <c r="I35" i="62"/>
  <c r="I308" i="94" s="1"/>
  <c r="H35" i="62"/>
  <c r="H308" i="94"/>
  <c r="G35" i="62"/>
  <c r="G308" i="94" s="1"/>
  <c r="F35" i="62"/>
  <c r="F308" i="94"/>
  <c r="E35" i="62"/>
  <c r="E308" i="94" s="1"/>
  <c r="D35" i="62"/>
  <c r="R34" i="62"/>
  <c r="L114" i="62"/>
  <c r="L34" i="62"/>
  <c r="L295" i="94" s="1"/>
  <c r="L298" i="94" s="1"/>
  <c r="L1006" i="94" s="1"/>
  <c r="K34" i="62"/>
  <c r="K295" i="94" s="1"/>
  <c r="K298" i="94" s="1"/>
  <c r="K1006" i="94" s="1"/>
  <c r="J34" i="62"/>
  <c r="J295" i="94" s="1"/>
  <c r="I34" i="62"/>
  <c r="I295" i="94"/>
  <c r="H34" i="62"/>
  <c r="H295" i="94" s="1"/>
  <c r="G34" i="62"/>
  <c r="F34" i="62"/>
  <c r="F295" i="94" s="1"/>
  <c r="E34" i="62"/>
  <c r="E295" i="94" s="1"/>
  <c r="D34" i="62"/>
  <c r="D295" i="94" s="1"/>
  <c r="L33" i="62"/>
  <c r="L282" i="94"/>
  <c r="K33" i="62"/>
  <c r="K282" i="94" s="1"/>
  <c r="J33" i="62"/>
  <c r="J282" i="94"/>
  <c r="I33" i="62"/>
  <c r="I282" i="94" s="1"/>
  <c r="H33" i="62"/>
  <c r="H282" i="94"/>
  <c r="G33" i="62"/>
  <c r="G282" i="94" s="1"/>
  <c r="F33" i="62"/>
  <c r="F282" i="94"/>
  <c r="E33" i="62"/>
  <c r="E282" i="94" s="1"/>
  <c r="D33" i="62"/>
  <c r="D282" i="94"/>
  <c r="Q32" i="62"/>
  <c r="L113" i="62"/>
  <c r="L32" i="62"/>
  <c r="L269" i="94"/>
  <c r="K32" i="62"/>
  <c r="K269" i="94" s="1"/>
  <c r="K272" i="94" s="1"/>
  <c r="K1004" i="94" s="1"/>
  <c r="J32" i="62"/>
  <c r="J269" i="94"/>
  <c r="I32" i="62"/>
  <c r="I269" i="94"/>
  <c r="H32" i="62"/>
  <c r="H269" i="94"/>
  <c r="G32" i="62"/>
  <c r="G269" i="94" s="1"/>
  <c r="F32" i="62"/>
  <c r="F269" i="94"/>
  <c r="E32" i="62"/>
  <c r="E269" i="94"/>
  <c r="D32" i="62"/>
  <c r="D269" i="94"/>
  <c r="L28" i="62"/>
  <c r="L229" i="94" s="1"/>
  <c r="L232" i="94" s="1"/>
  <c r="L1000" i="94" s="1"/>
  <c r="K28" i="62"/>
  <c r="K229" i="94"/>
  <c r="J28" i="62"/>
  <c r="I28" i="62"/>
  <c r="I229" i="94" s="1"/>
  <c r="I232" i="94" s="1"/>
  <c r="I1000" i="94" s="1"/>
  <c r="H28" i="62"/>
  <c r="H229" i="94"/>
  <c r="G28" i="62"/>
  <c r="G229" i="94" s="1"/>
  <c r="F28" i="62"/>
  <c r="F229" i="94" s="1"/>
  <c r="F232" i="94" s="1"/>
  <c r="F1000" i="94" s="1"/>
  <c r="E28" i="62"/>
  <c r="E229" i="94" s="1"/>
  <c r="D28" i="62"/>
  <c r="D229" i="94"/>
  <c r="L27" i="62"/>
  <c r="K27" i="62"/>
  <c r="K216" i="94"/>
  <c r="J27" i="62"/>
  <c r="J216" i="94"/>
  <c r="I27" i="62"/>
  <c r="I216" i="94"/>
  <c r="H27" i="62"/>
  <c r="G27" i="62"/>
  <c r="G216" i="94"/>
  <c r="F27" i="62"/>
  <c r="F216" i="94" s="1"/>
  <c r="E27" i="62"/>
  <c r="E216" i="94" s="1"/>
  <c r="E219" i="94" s="1"/>
  <c r="E999" i="94" s="1"/>
  <c r="D27" i="62"/>
  <c r="D216" i="94"/>
  <c r="L26" i="62"/>
  <c r="L203" i="94"/>
  <c r="K26" i="62"/>
  <c r="K203" i="94" s="1"/>
  <c r="J26" i="62"/>
  <c r="I26" i="62"/>
  <c r="I203" i="94"/>
  <c r="H26" i="62"/>
  <c r="H203" i="94" s="1"/>
  <c r="H206" i="94" s="1"/>
  <c r="H998" i="94" s="1"/>
  <c r="G26" i="62"/>
  <c r="G203" i="94"/>
  <c r="F26" i="62"/>
  <c r="F203" i="94"/>
  <c r="E26" i="62"/>
  <c r="E203" i="94"/>
  <c r="L25" i="62"/>
  <c r="L190" i="94" s="1"/>
  <c r="L193" i="94" s="1"/>
  <c r="L997" i="94" s="1"/>
  <c r="K25" i="62"/>
  <c r="K190" i="94"/>
  <c r="J25" i="62"/>
  <c r="J190" i="94"/>
  <c r="I25" i="62"/>
  <c r="I190" i="94"/>
  <c r="H25" i="62"/>
  <c r="H190" i="94" s="1"/>
  <c r="G25" i="62"/>
  <c r="G190" i="94"/>
  <c r="F25" i="62"/>
  <c r="F190" i="94"/>
  <c r="E25" i="62"/>
  <c r="E190" i="94"/>
  <c r="D25" i="62"/>
  <c r="D190" i="94" s="1"/>
  <c r="L24" i="62"/>
  <c r="L177" i="94"/>
  <c r="K24" i="62"/>
  <c r="K177" i="94"/>
  <c r="J24" i="62"/>
  <c r="J177" i="94"/>
  <c r="I24" i="62"/>
  <c r="I177" i="94" s="1"/>
  <c r="H24" i="62"/>
  <c r="H177" i="94"/>
  <c r="G24" i="62"/>
  <c r="G177" i="94"/>
  <c r="F24" i="62"/>
  <c r="F177" i="94"/>
  <c r="E24" i="62"/>
  <c r="E177" i="94" s="1"/>
  <c r="D24" i="62"/>
  <c r="D177" i="94"/>
  <c r="L23" i="62"/>
  <c r="L164" i="94"/>
  <c r="K23" i="62"/>
  <c r="K164" i="94"/>
  <c r="J23" i="62"/>
  <c r="J164" i="94" s="1"/>
  <c r="I23" i="62"/>
  <c r="I164" i="94"/>
  <c r="H23" i="62"/>
  <c r="G23" i="62"/>
  <c r="G164" i="94" s="1"/>
  <c r="F23" i="62"/>
  <c r="F164" i="94"/>
  <c r="E23" i="62"/>
  <c r="E164" i="94" s="1"/>
  <c r="D23" i="62"/>
  <c r="D164" i="94" s="1"/>
  <c r="L22" i="62"/>
  <c r="L151" i="94" s="1"/>
  <c r="K22" i="62"/>
  <c r="K151" i="94"/>
  <c r="J22" i="62"/>
  <c r="J151" i="94" s="1"/>
  <c r="I22" i="62"/>
  <c r="I151" i="94" s="1"/>
  <c r="I154" i="94" s="1"/>
  <c r="I994" i="94" s="1"/>
  <c r="H22" i="62"/>
  <c r="H151" i="94" s="1"/>
  <c r="G22" i="62"/>
  <c r="G151" i="94"/>
  <c r="F22" i="62"/>
  <c r="F151" i="94" s="1"/>
  <c r="E22" i="62"/>
  <c r="E151" i="94" s="1"/>
  <c r="D22" i="62"/>
  <c r="D151" i="94" s="1"/>
  <c r="L21" i="62"/>
  <c r="L138" i="94"/>
  <c r="K21" i="62"/>
  <c r="K138" i="94" s="1"/>
  <c r="J21" i="62"/>
  <c r="J138" i="94"/>
  <c r="I21" i="62"/>
  <c r="I138" i="94"/>
  <c r="H21" i="62"/>
  <c r="H138" i="94"/>
  <c r="G21" i="62"/>
  <c r="G138" i="94" s="1"/>
  <c r="F21" i="62"/>
  <c r="F138" i="94"/>
  <c r="E21" i="62"/>
  <c r="E138" i="94"/>
  <c r="D21" i="62"/>
  <c r="L20" i="62"/>
  <c r="L125" i="94" s="1"/>
  <c r="I20" i="62"/>
  <c r="I125" i="94"/>
  <c r="H20" i="62"/>
  <c r="H125" i="94" s="1"/>
  <c r="G20" i="62"/>
  <c r="G125" i="94" s="1"/>
  <c r="F20" i="62"/>
  <c r="F125" i="94" s="1"/>
  <c r="E20" i="62"/>
  <c r="E125" i="94"/>
  <c r="D20" i="62"/>
  <c r="D125" i="94" s="1"/>
  <c r="D128" i="94" s="1"/>
  <c r="D992" i="94" s="1"/>
  <c r="J19" i="62"/>
  <c r="J112" i="94"/>
  <c r="H19" i="62"/>
  <c r="H112" i="94" s="1"/>
  <c r="G19" i="62"/>
  <c r="G112" i="94"/>
  <c r="F19" i="62"/>
  <c r="F112" i="94" s="1"/>
  <c r="E19" i="62"/>
  <c r="E112" i="94"/>
  <c r="D19" i="62"/>
  <c r="D112" i="94" s="1"/>
  <c r="L14" i="62"/>
  <c r="L71" i="94"/>
  <c r="K14" i="62"/>
  <c r="K71" i="94"/>
  <c r="J14" i="62"/>
  <c r="I14" i="62"/>
  <c r="I71" i="94"/>
  <c r="H14" i="62"/>
  <c r="H71" i="94" s="1"/>
  <c r="H74" i="94" s="1"/>
  <c r="H986" i="94" s="1"/>
  <c r="G14" i="62"/>
  <c r="G71" i="94" s="1"/>
  <c r="F14" i="62"/>
  <c r="F71" i="94" s="1"/>
  <c r="F74" i="94" s="1"/>
  <c r="D26" i="57" s="1"/>
  <c r="E14" i="62"/>
  <c r="E71" i="94"/>
  <c r="D14" i="62"/>
  <c r="D71" i="94" s="1"/>
  <c r="D74" i="94" s="1"/>
  <c r="D986" i="94" s="1"/>
  <c r="L13" i="62"/>
  <c r="L58" i="94" s="1"/>
  <c r="L61" i="94" s="1"/>
  <c r="L985" i="94" s="1"/>
  <c r="K13" i="62"/>
  <c r="K58" i="94" s="1"/>
  <c r="J13" i="62"/>
  <c r="J58" i="94"/>
  <c r="I13" i="62"/>
  <c r="I58" i="94"/>
  <c r="H13" i="62"/>
  <c r="H58" i="94"/>
  <c r="G13" i="62"/>
  <c r="G58" i="94" s="1"/>
  <c r="F13" i="62"/>
  <c r="E13" i="62"/>
  <c r="E58" i="94" s="1"/>
  <c r="E61" i="94" s="1"/>
  <c r="E985" i="94" s="1"/>
  <c r="D13" i="62"/>
  <c r="D58" i="94"/>
  <c r="D45" i="94"/>
  <c r="L11" i="62"/>
  <c r="L32" i="94"/>
  <c r="K11" i="62"/>
  <c r="K32" i="94"/>
  <c r="J11" i="62"/>
  <c r="J32" i="94"/>
  <c r="I11" i="62"/>
  <c r="H11" i="62"/>
  <c r="H32" i="94" s="1"/>
  <c r="G11" i="62"/>
  <c r="G32" i="94" s="1"/>
  <c r="F11" i="62"/>
  <c r="F32" i="94" s="1"/>
  <c r="F35" i="94" s="1"/>
  <c r="D23" i="57" s="1"/>
  <c r="E11" i="62"/>
  <c r="E32" i="94"/>
  <c r="D11" i="62"/>
  <c r="D32" i="94" s="1"/>
  <c r="D35" i="94" s="1"/>
  <c r="D983" i="94" s="1"/>
  <c r="L10" i="62"/>
  <c r="K10" i="62"/>
  <c r="K19" i="94"/>
  <c r="J10" i="62"/>
  <c r="J19" i="94"/>
  <c r="I10" i="62"/>
  <c r="I19" i="94" s="1"/>
  <c r="I22" i="94" s="1"/>
  <c r="I982" i="94" s="1"/>
  <c r="H10" i="62"/>
  <c r="H19" i="94"/>
  <c r="G10" i="62"/>
  <c r="G19" i="94"/>
  <c r="F10" i="62"/>
  <c r="F19" i="94"/>
  <c r="F22" i="94" s="1"/>
  <c r="D22" i="57" s="1"/>
  <c r="E10" i="62"/>
  <c r="D10" i="62"/>
  <c r="D19" i="94" s="1"/>
  <c r="V103" i="62"/>
  <c r="K20" i="62"/>
  <c r="K125" i="94"/>
  <c r="J20" i="62"/>
  <c r="J125" i="94"/>
  <c r="L19" i="62"/>
  <c r="L112" i="94"/>
  <c r="K19" i="62"/>
  <c r="I19" i="62"/>
  <c r="I112" i="94"/>
  <c r="L45" i="94"/>
  <c r="K45" i="94"/>
  <c r="J45" i="94"/>
  <c r="I45" i="94"/>
  <c r="H45" i="94"/>
  <c r="G45" i="94"/>
  <c r="F45" i="94"/>
  <c r="E45" i="94"/>
  <c r="R103" i="47"/>
  <c r="P103" i="47"/>
  <c r="H17" i="78"/>
  <c r="L97" i="47"/>
  <c r="L924" i="94"/>
  <c r="K97" i="47"/>
  <c r="K924" i="94"/>
  <c r="J97" i="47"/>
  <c r="J924" i="94"/>
  <c r="I97" i="47"/>
  <c r="I924" i="94"/>
  <c r="H97" i="47"/>
  <c r="H924" i="94"/>
  <c r="G97" i="47"/>
  <c r="G924" i="94"/>
  <c r="F97" i="47"/>
  <c r="F924" i="94"/>
  <c r="E97" i="47"/>
  <c r="E924" i="94"/>
  <c r="D97" i="47"/>
  <c r="L96" i="47"/>
  <c r="L911" i="94"/>
  <c r="K96" i="47"/>
  <c r="K911" i="94"/>
  <c r="J96" i="47"/>
  <c r="J911" i="94"/>
  <c r="I96" i="47"/>
  <c r="I911" i="94"/>
  <c r="H96" i="47"/>
  <c r="H911" i="94"/>
  <c r="G96" i="47"/>
  <c r="G911" i="94"/>
  <c r="F96" i="47"/>
  <c r="F911" i="94"/>
  <c r="E96" i="47"/>
  <c r="D96" i="47"/>
  <c r="D911" i="94"/>
  <c r="L95" i="47"/>
  <c r="L898" i="94"/>
  <c r="K95" i="47"/>
  <c r="K898" i="94"/>
  <c r="J95" i="47"/>
  <c r="J898" i="94"/>
  <c r="I95" i="47"/>
  <c r="I898" i="94"/>
  <c r="H95" i="47"/>
  <c r="H898" i="94"/>
  <c r="G95" i="47"/>
  <c r="G898" i="94"/>
  <c r="F95" i="47"/>
  <c r="F898" i="94"/>
  <c r="E95" i="47"/>
  <c r="E898" i="94"/>
  <c r="D95" i="47"/>
  <c r="D898" i="94"/>
  <c r="L94" i="47"/>
  <c r="L885" i="94"/>
  <c r="K94" i="47"/>
  <c r="J94" i="47"/>
  <c r="J885" i="94"/>
  <c r="I94" i="47"/>
  <c r="I885" i="94"/>
  <c r="H94" i="47"/>
  <c r="H885" i="94"/>
  <c r="G94" i="47"/>
  <c r="G885" i="94"/>
  <c r="F94" i="47"/>
  <c r="F885" i="94"/>
  <c r="E94" i="47"/>
  <c r="E885" i="94"/>
  <c r="D94" i="47"/>
  <c r="D885" i="94"/>
  <c r="L93" i="47"/>
  <c r="L872" i="94"/>
  <c r="K93" i="47"/>
  <c r="K872" i="94"/>
  <c r="J93" i="47"/>
  <c r="J872" i="94"/>
  <c r="I93" i="47"/>
  <c r="I872" i="94"/>
  <c r="H93" i="47"/>
  <c r="H872" i="94"/>
  <c r="G93" i="47"/>
  <c r="G872" i="94"/>
  <c r="F93" i="47"/>
  <c r="F872" i="94"/>
  <c r="E93" i="47"/>
  <c r="E872" i="94"/>
  <c r="D93" i="47"/>
  <c r="L88" i="47"/>
  <c r="L831" i="94"/>
  <c r="K88" i="47"/>
  <c r="J88" i="47"/>
  <c r="J831" i="94"/>
  <c r="I88" i="47"/>
  <c r="H88" i="47"/>
  <c r="H831" i="94"/>
  <c r="G88" i="47"/>
  <c r="G831" i="94"/>
  <c r="F88" i="47"/>
  <c r="E88" i="47"/>
  <c r="D88" i="47"/>
  <c r="D831" i="94"/>
  <c r="S87" i="47"/>
  <c r="L121" i="47"/>
  <c r="L87" i="47"/>
  <c r="K87" i="47"/>
  <c r="K818" i="94"/>
  <c r="J87" i="47"/>
  <c r="J818" i="94"/>
  <c r="I87" i="47"/>
  <c r="I818" i="94"/>
  <c r="H87" i="47"/>
  <c r="G87" i="47"/>
  <c r="F87" i="47"/>
  <c r="F818" i="94"/>
  <c r="E87" i="47"/>
  <c r="E818" i="94"/>
  <c r="D87" i="47"/>
  <c r="S84" i="47"/>
  <c r="L120" i="47"/>
  <c r="L83" i="47"/>
  <c r="L790" i="94"/>
  <c r="K83" i="47"/>
  <c r="K790" i="94"/>
  <c r="J83" i="47"/>
  <c r="J790" i="94"/>
  <c r="I83" i="47"/>
  <c r="I790" i="94"/>
  <c r="H83" i="47"/>
  <c r="H790" i="94"/>
  <c r="G83" i="47"/>
  <c r="G790" i="94"/>
  <c r="F83" i="47"/>
  <c r="F790" i="94"/>
  <c r="E83" i="47"/>
  <c r="E790" i="94"/>
  <c r="D83" i="47"/>
  <c r="D790" i="94"/>
  <c r="L82" i="47"/>
  <c r="L777" i="94"/>
  <c r="K82" i="47"/>
  <c r="K777" i="94"/>
  <c r="J82" i="47"/>
  <c r="I82" i="47"/>
  <c r="I777" i="94"/>
  <c r="H82" i="47"/>
  <c r="G82" i="47"/>
  <c r="G777" i="94"/>
  <c r="F82" i="47"/>
  <c r="E82" i="47"/>
  <c r="E777" i="94"/>
  <c r="D82" i="47"/>
  <c r="D777" i="94"/>
  <c r="L81" i="47"/>
  <c r="L764" i="94"/>
  <c r="K81" i="47"/>
  <c r="J81" i="47"/>
  <c r="J764" i="94"/>
  <c r="I81" i="47"/>
  <c r="I764" i="94"/>
  <c r="H81" i="47"/>
  <c r="H764" i="94"/>
  <c r="G81" i="47"/>
  <c r="G764" i="94"/>
  <c r="F81" i="47"/>
  <c r="F764" i="94"/>
  <c r="E81" i="47"/>
  <c r="E764" i="94"/>
  <c r="D81" i="47"/>
  <c r="D764" i="94"/>
  <c r="L80" i="47"/>
  <c r="K80" i="47"/>
  <c r="K751" i="94"/>
  <c r="J80" i="47"/>
  <c r="J751" i="94"/>
  <c r="I80" i="47"/>
  <c r="I751" i="94"/>
  <c r="H80" i="47"/>
  <c r="H751" i="94"/>
  <c r="G80" i="47"/>
  <c r="G751" i="94"/>
  <c r="F80" i="47"/>
  <c r="F751" i="94"/>
  <c r="E80" i="47"/>
  <c r="D80" i="47"/>
  <c r="S77" i="47"/>
  <c r="S76" i="47"/>
  <c r="L76" i="47"/>
  <c r="L723" i="94"/>
  <c r="K76" i="47"/>
  <c r="K723" i="94"/>
  <c r="J76" i="47"/>
  <c r="J723" i="94"/>
  <c r="I76" i="47"/>
  <c r="I723" i="94"/>
  <c r="H76" i="47"/>
  <c r="H723" i="94"/>
  <c r="G76" i="47"/>
  <c r="G723" i="94"/>
  <c r="F76" i="47"/>
  <c r="E76" i="47"/>
  <c r="E723" i="94"/>
  <c r="D76" i="47"/>
  <c r="D723" i="94"/>
  <c r="L75" i="47"/>
  <c r="L710" i="94"/>
  <c r="K75" i="47"/>
  <c r="J75" i="47"/>
  <c r="J710" i="94"/>
  <c r="I75" i="47"/>
  <c r="I710" i="94"/>
  <c r="H75" i="47"/>
  <c r="H710" i="94"/>
  <c r="G75" i="47"/>
  <c r="F75" i="47"/>
  <c r="E75" i="47"/>
  <c r="E710" i="94"/>
  <c r="D75" i="47"/>
  <c r="D710" i="94"/>
  <c r="X74" i="47"/>
  <c r="P74" i="47"/>
  <c r="L74" i="47"/>
  <c r="L697" i="94"/>
  <c r="K74" i="47"/>
  <c r="K697" i="94"/>
  <c r="J74" i="47"/>
  <c r="J697" i="94"/>
  <c r="I74" i="47"/>
  <c r="I697" i="94"/>
  <c r="H74" i="47"/>
  <c r="H697" i="94"/>
  <c r="G74" i="47"/>
  <c r="G697" i="94"/>
  <c r="F74" i="47"/>
  <c r="E74" i="47"/>
  <c r="D74" i="47"/>
  <c r="D697" i="94"/>
  <c r="X73" i="47"/>
  <c r="R73" i="47"/>
  <c r="Q73" i="47"/>
  <c r="P73" i="47"/>
  <c r="L73" i="47"/>
  <c r="L684" i="94"/>
  <c r="K73" i="47"/>
  <c r="K684" i="94"/>
  <c r="J73" i="47"/>
  <c r="J684" i="94"/>
  <c r="I73" i="47"/>
  <c r="I684" i="94"/>
  <c r="H73" i="47"/>
  <c r="H684" i="94"/>
  <c r="G73" i="47"/>
  <c r="G684" i="94"/>
  <c r="F73" i="47"/>
  <c r="F684" i="94"/>
  <c r="E73" i="47"/>
  <c r="E684" i="94"/>
  <c r="D73" i="47"/>
  <c r="X72" i="47"/>
  <c r="R72" i="47"/>
  <c r="Q72" i="47"/>
  <c r="P72" i="47"/>
  <c r="L72" i="47"/>
  <c r="L671" i="94"/>
  <c r="K72" i="47"/>
  <c r="K671" i="94"/>
  <c r="J72" i="47"/>
  <c r="J671" i="94"/>
  <c r="I72" i="47"/>
  <c r="I671" i="94"/>
  <c r="H72" i="47"/>
  <c r="H671" i="94"/>
  <c r="G72" i="47"/>
  <c r="F72" i="47"/>
  <c r="F671" i="94"/>
  <c r="E72" i="47"/>
  <c r="E671" i="94"/>
  <c r="D72" i="47"/>
  <c r="D671" i="94"/>
  <c r="X71" i="47"/>
  <c r="R71" i="47"/>
  <c r="Q71" i="47"/>
  <c r="P71" i="47"/>
  <c r="L71" i="47"/>
  <c r="L658" i="94"/>
  <c r="K71" i="47"/>
  <c r="K658" i="94"/>
  <c r="J71" i="47"/>
  <c r="I71" i="47"/>
  <c r="I658" i="94"/>
  <c r="H71" i="47"/>
  <c r="H658" i="94"/>
  <c r="G71" i="47"/>
  <c r="G658" i="94"/>
  <c r="F71" i="47"/>
  <c r="E71" i="47"/>
  <c r="E658" i="94"/>
  <c r="D71" i="47"/>
  <c r="X70" i="47"/>
  <c r="R70" i="47"/>
  <c r="Q70" i="47"/>
  <c r="P70" i="47"/>
  <c r="L70" i="47"/>
  <c r="L645" i="94"/>
  <c r="K70" i="47"/>
  <c r="K645" i="94"/>
  <c r="J70" i="47"/>
  <c r="J645" i="94"/>
  <c r="I70" i="47"/>
  <c r="I645" i="94"/>
  <c r="H70" i="47"/>
  <c r="H645" i="94"/>
  <c r="G70" i="47"/>
  <c r="G645" i="94"/>
  <c r="F70" i="47"/>
  <c r="F645" i="94"/>
  <c r="E70" i="47"/>
  <c r="D70" i="47"/>
  <c r="D645" i="94"/>
  <c r="X69" i="47"/>
  <c r="R69" i="47"/>
  <c r="Q69" i="47"/>
  <c r="P69" i="47"/>
  <c r="L69" i="47"/>
  <c r="K69" i="47"/>
  <c r="K632" i="94"/>
  <c r="J69" i="47"/>
  <c r="J632" i="94"/>
  <c r="I69" i="47"/>
  <c r="I632" i="94"/>
  <c r="H69" i="47"/>
  <c r="H632" i="94"/>
  <c r="G69" i="47"/>
  <c r="G632" i="94"/>
  <c r="F69" i="47"/>
  <c r="E69" i="47"/>
  <c r="E632" i="94"/>
  <c r="D69" i="47"/>
  <c r="X68" i="47"/>
  <c r="R68" i="47"/>
  <c r="Q68" i="47"/>
  <c r="P68" i="47"/>
  <c r="E16" i="95"/>
  <c r="L68" i="47"/>
  <c r="L619" i="94"/>
  <c r="K68" i="47"/>
  <c r="K619" i="94"/>
  <c r="J68" i="47"/>
  <c r="J619" i="94"/>
  <c r="I68" i="47"/>
  <c r="I619" i="94"/>
  <c r="H68" i="47"/>
  <c r="H619" i="94"/>
  <c r="G68" i="47"/>
  <c r="G619" i="94"/>
  <c r="F68" i="47"/>
  <c r="F619" i="94"/>
  <c r="E68" i="47"/>
  <c r="E619" i="94"/>
  <c r="D68" i="47"/>
  <c r="D619" i="94"/>
  <c r="X67" i="47"/>
  <c r="R67" i="47"/>
  <c r="Q67" i="47"/>
  <c r="P67" i="47"/>
  <c r="L67" i="47"/>
  <c r="L606" i="94"/>
  <c r="K67" i="47"/>
  <c r="K606" i="94"/>
  <c r="J67" i="47"/>
  <c r="I67" i="47"/>
  <c r="I606" i="94"/>
  <c r="H67" i="47"/>
  <c r="G67" i="47"/>
  <c r="G606" i="94"/>
  <c r="F67" i="47"/>
  <c r="D44" i="46"/>
  <c r="E67" i="47"/>
  <c r="E606" i="94"/>
  <c r="D67" i="47"/>
  <c r="X66" i="47"/>
  <c r="R66" i="47"/>
  <c r="Q66" i="47"/>
  <c r="P66" i="47"/>
  <c r="L66" i="47"/>
  <c r="L593" i="94"/>
  <c r="K66" i="47"/>
  <c r="J66" i="47"/>
  <c r="J593" i="94"/>
  <c r="I66" i="47"/>
  <c r="H66" i="47"/>
  <c r="H593" i="94"/>
  <c r="G66" i="47"/>
  <c r="F66" i="47"/>
  <c r="F593" i="94"/>
  <c r="E66" i="47"/>
  <c r="D66" i="47"/>
  <c r="D593" i="94"/>
  <c r="X65" i="47"/>
  <c r="R65" i="47"/>
  <c r="Q65" i="47"/>
  <c r="P65" i="47"/>
  <c r="L65" i="47"/>
  <c r="L580" i="94"/>
  <c r="K65" i="47"/>
  <c r="K580" i="94"/>
  <c r="J65" i="47"/>
  <c r="J580" i="94"/>
  <c r="I65" i="47"/>
  <c r="I580" i="94"/>
  <c r="H65" i="47"/>
  <c r="G65" i="47"/>
  <c r="G580" i="94"/>
  <c r="F65" i="47"/>
  <c r="E65" i="47"/>
  <c r="E580" i="94"/>
  <c r="D65" i="47"/>
  <c r="L61" i="47"/>
  <c r="L540" i="94"/>
  <c r="K61" i="47"/>
  <c r="J61" i="47"/>
  <c r="J540" i="94"/>
  <c r="I61" i="47"/>
  <c r="I540" i="94"/>
  <c r="H61" i="47"/>
  <c r="H540" i="94"/>
  <c r="G61" i="47"/>
  <c r="G540" i="94"/>
  <c r="F61" i="47"/>
  <c r="E61" i="47"/>
  <c r="E540" i="94"/>
  <c r="D61" i="47"/>
  <c r="D540" i="94"/>
  <c r="L60" i="47"/>
  <c r="L527" i="94"/>
  <c r="K60" i="47"/>
  <c r="K527" i="94"/>
  <c r="J60" i="47"/>
  <c r="J527" i="94"/>
  <c r="I60" i="47"/>
  <c r="I527" i="94"/>
  <c r="H60" i="47"/>
  <c r="H527" i="94"/>
  <c r="G60" i="47"/>
  <c r="G527" i="94"/>
  <c r="F60" i="47"/>
  <c r="F527" i="94"/>
  <c r="E60" i="47"/>
  <c r="E527" i="94"/>
  <c r="D60" i="47"/>
  <c r="D527" i="94"/>
  <c r="L59" i="47"/>
  <c r="L514" i="94"/>
  <c r="K59" i="47"/>
  <c r="K514" i="94"/>
  <c r="J59" i="47"/>
  <c r="J514" i="94"/>
  <c r="I59" i="47"/>
  <c r="I514" i="94"/>
  <c r="H59" i="47"/>
  <c r="H514" i="94"/>
  <c r="G59" i="47"/>
  <c r="G514" i="94"/>
  <c r="F59" i="47"/>
  <c r="F514" i="94"/>
  <c r="E59" i="47"/>
  <c r="D59" i="47"/>
  <c r="D514" i="94"/>
  <c r="L58" i="47"/>
  <c r="L501" i="94"/>
  <c r="K58" i="47"/>
  <c r="K501" i="94"/>
  <c r="J58" i="47"/>
  <c r="J501" i="94"/>
  <c r="I58" i="47"/>
  <c r="I501" i="94"/>
  <c r="H58" i="47"/>
  <c r="G58" i="47"/>
  <c r="G501" i="94"/>
  <c r="F58" i="47"/>
  <c r="F501" i="94"/>
  <c r="E58" i="47"/>
  <c r="E501" i="94"/>
  <c r="D58" i="47"/>
  <c r="D501" i="94"/>
  <c r="L57" i="47"/>
  <c r="K57" i="47"/>
  <c r="K488" i="94"/>
  <c r="J57" i="47"/>
  <c r="I57" i="47"/>
  <c r="H57" i="47"/>
  <c r="H488" i="94"/>
  <c r="G57" i="47"/>
  <c r="G488" i="94"/>
  <c r="F57" i="47"/>
  <c r="F488" i="94"/>
  <c r="E57" i="47"/>
  <c r="E488" i="94"/>
  <c r="D57" i="47"/>
  <c r="D488" i="94"/>
  <c r="L56" i="47"/>
  <c r="L475" i="94"/>
  <c r="K56" i="47"/>
  <c r="J56" i="47"/>
  <c r="J475" i="94"/>
  <c r="I56" i="47"/>
  <c r="I475" i="94"/>
  <c r="H56" i="47"/>
  <c r="H475" i="94"/>
  <c r="G56" i="47"/>
  <c r="G475" i="94"/>
  <c r="F56" i="47"/>
  <c r="E56" i="47"/>
  <c r="E475" i="94"/>
  <c r="D56" i="47"/>
  <c r="D475" i="94"/>
  <c r="L53" i="47"/>
  <c r="L460" i="94"/>
  <c r="K53" i="47"/>
  <c r="K460" i="94"/>
  <c r="J53" i="47"/>
  <c r="J460" i="94"/>
  <c r="I53" i="47"/>
  <c r="I460" i="94"/>
  <c r="H53" i="47"/>
  <c r="H460" i="94"/>
  <c r="G53" i="47"/>
  <c r="F53" i="47"/>
  <c r="F460" i="94"/>
  <c r="E53" i="47"/>
  <c r="E460" i="94"/>
  <c r="D53" i="47"/>
  <c r="D460" i="94"/>
  <c r="L50" i="47"/>
  <c r="L445" i="94"/>
  <c r="K50" i="47"/>
  <c r="K445" i="94"/>
  <c r="J50" i="47"/>
  <c r="J445" i="94"/>
  <c r="I50" i="47"/>
  <c r="H50" i="47"/>
  <c r="H445" i="94"/>
  <c r="G50" i="47"/>
  <c r="G445" i="94"/>
  <c r="F50" i="47"/>
  <c r="F445" i="94"/>
  <c r="E50" i="47"/>
  <c r="E445" i="94"/>
  <c r="D50" i="47"/>
  <c r="D445" i="94"/>
  <c r="L47" i="47"/>
  <c r="L430" i="94"/>
  <c r="K47" i="47"/>
  <c r="K430" i="94"/>
  <c r="J47" i="47"/>
  <c r="J430" i="94"/>
  <c r="I47" i="47"/>
  <c r="I430" i="94"/>
  <c r="H47" i="47"/>
  <c r="H430" i="94"/>
  <c r="G47" i="47"/>
  <c r="G430" i="94"/>
  <c r="F47" i="47"/>
  <c r="F430" i="94"/>
  <c r="E47" i="47"/>
  <c r="D47" i="47"/>
  <c r="D430" i="94"/>
  <c r="L41" i="47"/>
  <c r="L388" i="94"/>
  <c r="K41" i="47"/>
  <c r="K388" i="94"/>
  <c r="J41" i="47"/>
  <c r="J388" i="94"/>
  <c r="I41" i="47"/>
  <c r="I388" i="94"/>
  <c r="H41" i="47"/>
  <c r="H388" i="94"/>
  <c r="G41" i="47"/>
  <c r="F41" i="47"/>
  <c r="F388" i="94"/>
  <c r="E41" i="47"/>
  <c r="E388" i="94"/>
  <c r="D41" i="47"/>
  <c r="D388" i="94"/>
  <c r="L40" i="47"/>
  <c r="L375" i="94"/>
  <c r="K40" i="47"/>
  <c r="K375" i="94"/>
  <c r="J40" i="47"/>
  <c r="J375" i="94"/>
  <c r="I40" i="47"/>
  <c r="H40" i="47"/>
  <c r="H375" i="94"/>
  <c r="G40" i="47"/>
  <c r="G375" i="94"/>
  <c r="F40" i="47"/>
  <c r="F375" i="94"/>
  <c r="E40" i="47"/>
  <c r="E375" i="94"/>
  <c r="D40" i="47"/>
  <c r="L39" i="47"/>
  <c r="L362" i="94"/>
  <c r="K39" i="47"/>
  <c r="K362" i="94"/>
  <c r="J39" i="47"/>
  <c r="J362" i="94"/>
  <c r="I39" i="47"/>
  <c r="I362" i="94"/>
  <c r="H39" i="47"/>
  <c r="H362" i="94"/>
  <c r="G39" i="47"/>
  <c r="G362" i="94"/>
  <c r="F39" i="47"/>
  <c r="E39" i="47"/>
  <c r="E362" i="94"/>
  <c r="D39" i="47"/>
  <c r="D362" i="94"/>
  <c r="L38" i="47"/>
  <c r="L349" i="94"/>
  <c r="K38" i="47"/>
  <c r="K349" i="94"/>
  <c r="J38" i="47"/>
  <c r="J349" i="94"/>
  <c r="I38" i="47"/>
  <c r="I349" i="94"/>
  <c r="H38" i="47"/>
  <c r="H349" i="94"/>
  <c r="G38" i="47"/>
  <c r="G349" i="94"/>
  <c r="F38" i="47"/>
  <c r="F349" i="94"/>
  <c r="E38" i="47"/>
  <c r="D38" i="47"/>
  <c r="D349" i="94"/>
  <c r="L37" i="47"/>
  <c r="L336" i="94"/>
  <c r="K37" i="47"/>
  <c r="K336" i="94"/>
  <c r="J37" i="47"/>
  <c r="J336" i="94"/>
  <c r="I37" i="47"/>
  <c r="I336" i="94"/>
  <c r="H37" i="47"/>
  <c r="H336" i="94"/>
  <c r="G37" i="47"/>
  <c r="G336" i="94"/>
  <c r="F37" i="47"/>
  <c r="F336" i="94"/>
  <c r="E37" i="47"/>
  <c r="E336" i="94"/>
  <c r="D37" i="47"/>
  <c r="D336" i="94"/>
  <c r="L36" i="47"/>
  <c r="L323" i="94"/>
  <c r="K36" i="47"/>
  <c r="J36" i="47"/>
  <c r="J323" i="94"/>
  <c r="I36" i="47"/>
  <c r="I323" i="94"/>
  <c r="H36" i="47"/>
  <c r="H323" i="94"/>
  <c r="G36" i="47"/>
  <c r="G323" i="94"/>
  <c r="F36" i="47"/>
  <c r="F323" i="94"/>
  <c r="E36" i="47"/>
  <c r="E323" i="94"/>
  <c r="D36" i="47"/>
  <c r="L35" i="47"/>
  <c r="L310" i="94"/>
  <c r="K35" i="47"/>
  <c r="K310" i="94"/>
  <c r="J35" i="47"/>
  <c r="J310" i="94"/>
  <c r="I35" i="47"/>
  <c r="I310" i="94"/>
  <c r="H35" i="47"/>
  <c r="H310" i="94"/>
  <c r="G35" i="47"/>
  <c r="G310" i="94"/>
  <c r="F35" i="47"/>
  <c r="F310" i="94"/>
  <c r="E35" i="47"/>
  <c r="E310" i="94"/>
  <c r="D35" i="47"/>
  <c r="R34" i="47"/>
  <c r="L114" i="47"/>
  <c r="L34" i="47"/>
  <c r="L297" i="94"/>
  <c r="K34" i="47"/>
  <c r="K297" i="94"/>
  <c r="J34" i="47"/>
  <c r="J297" i="94"/>
  <c r="I34" i="47"/>
  <c r="I297" i="94"/>
  <c r="H34" i="47"/>
  <c r="H297" i="94"/>
  <c r="G34" i="47"/>
  <c r="G297" i="94"/>
  <c r="F34" i="47"/>
  <c r="F297" i="94"/>
  <c r="E34" i="47"/>
  <c r="E297" i="94"/>
  <c r="D34" i="47"/>
  <c r="L33" i="47"/>
  <c r="L284" i="94"/>
  <c r="K33" i="47"/>
  <c r="J33" i="47"/>
  <c r="I33" i="47"/>
  <c r="I284" i="94"/>
  <c r="H33" i="47"/>
  <c r="H284" i="94"/>
  <c r="G33" i="47"/>
  <c r="G284" i="94"/>
  <c r="F33" i="47"/>
  <c r="F284" i="94"/>
  <c r="E33" i="47"/>
  <c r="E284" i="94"/>
  <c r="D33" i="47"/>
  <c r="D284" i="94"/>
  <c r="Q32" i="47"/>
  <c r="L113" i="47"/>
  <c r="L32" i="47"/>
  <c r="L271" i="94"/>
  <c r="K32" i="47"/>
  <c r="K271" i="94"/>
  <c r="J32" i="47"/>
  <c r="J271" i="94"/>
  <c r="I32" i="47"/>
  <c r="H32" i="47"/>
  <c r="H271" i="94"/>
  <c r="G32" i="47"/>
  <c r="G271" i="94"/>
  <c r="F32" i="47"/>
  <c r="F271" i="94"/>
  <c r="E32" i="47"/>
  <c r="E271" i="94"/>
  <c r="D32" i="47"/>
  <c r="D271" i="94"/>
  <c r="L28" i="47"/>
  <c r="L231" i="94"/>
  <c r="K28" i="47"/>
  <c r="K231" i="94"/>
  <c r="J28" i="47"/>
  <c r="I28" i="47"/>
  <c r="I231" i="94"/>
  <c r="H28" i="47"/>
  <c r="H231" i="94"/>
  <c r="G28" i="47"/>
  <c r="G231" i="94"/>
  <c r="F28" i="47"/>
  <c r="F231" i="94"/>
  <c r="E28" i="47"/>
  <c r="E231" i="94"/>
  <c r="D28" i="47"/>
  <c r="D231" i="94"/>
  <c r="L27" i="47"/>
  <c r="L218" i="94"/>
  <c r="K27" i="47"/>
  <c r="K218" i="94"/>
  <c r="J27" i="47"/>
  <c r="J218" i="94"/>
  <c r="I27" i="47"/>
  <c r="I218" i="94"/>
  <c r="H27" i="47"/>
  <c r="H218" i="94"/>
  <c r="G27" i="47"/>
  <c r="G218" i="94"/>
  <c r="F27" i="47"/>
  <c r="F218" i="94"/>
  <c r="E27" i="47"/>
  <c r="E218" i="94"/>
  <c r="D27" i="47"/>
  <c r="D218" i="94"/>
  <c r="L26" i="47"/>
  <c r="L205" i="94"/>
  <c r="K26" i="47"/>
  <c r="K205" i="94"/>
  <c r="J26" i="47"/>
  <c r="J205" i="94"/>
  <c r="I26" i="47"/>
  <c r="I205" i="94"/>
  <c r="H26" i="47"/>
  <c r="H205" i="94"/>
  <c r="G26" i="47"/>
  <c r="G205" i="94"/>
  <c r="F26" i="47"/>
  <c r="F205" i="94"/>
  <c r="E26" i="47"/>
  <c r="L25" i="47"/>
  <c r="L192" i="94"/>
  <c r="K25" i="47"/>
  <c r="K192" i="94"/>
  <c r="J25" i="47"/>
  <c r="J192" i="94"/>
  <c r="I25" i="47"/>
  <c r="I192" i="94"/>
  <c r="H25" i="47"/>
  <c r="H192" i="94"/>
  <c r="G25" i="47"/>
  <c r="G192" i="94"/>
  <c r="F25" i="47"/>
  <c r="E25" i="47"/>
  <c r="E192" i="94"/>
  <c r="D25" i="47"/>
  <c r="D192" i="94"/>
  <c r="L24" i="47"/>
  <c r="L179" i="94"/>
  <c r="K24" i="47"/>
  <c r="K179" i="94"/>
  <c r="J24" i="47"/>
  <c r="J179" i="94"/>
  <c r="I24" i="47"/>
  <c r="I179" i="94"/>
  <c r="H24" i="47"/>
  <c r="G24" i="47"/>
  <c r="G179" i="94"/>
  <c r="F24" i="47"/>
  <c r="E24" i="47"/>
  <c r="E179" i="94"/>
  <c r="D24" i="47"/>
  <c r="D179" i="94"/>
  <c r="L23" i="47"/>
  <c r="K23" i="47"/>
  <c r="K166" i="94"/>
  <c r="J23" i="47"/>
  <c r="J166" i="94"/>
  <c r="I23" i="47"/>
  <c r="I166" i="94"/>
  <c r="H23" i="47"/>
  <c r="H166" i="94"/>
  <c r="G23" i="47"/>
  <c r="G166" i="94"/>
  <c r="F23" i="47"/>
  <c r="F166" i="94"/>
  <c r="E23" i="47"/>
  <c r="E166" i="94"/>
  <c r="D23" i="47"/>
  <c r="L22" i="47"/>
  <c r="L153" i="94"/>
  <c r="K22" i="47"/>
  <c r="J22" i="47"/>
  <c r="J153" i="94"/>
  <c r="I22" i="47"/>
  <c r="I153" i="94"/>
  <c r="H22" i="47"/>
  <c r="H153" i="94"/>
  <c r="G22" i="47"/>
  <c r="F22" i="47"/>
  <c r="F153" i="94"/>
  <c r="E22" i="47"/>
  <c r="D22" i="47"/>
  <c r="D153" i="94"/>
  <c r="L21" i="47"/>
  <c r="L140" i="94"/>
  <c r="K21" i="47"/>
  <c r="K140" i="94"/>
  <c r="J21" i="47"/>
  <c r="J140" i="94"/>
  <c r="I21" i="47"/>
  <c r="H21" i="47"/>
  <c r="H140" i="94"/>
  <c r="G21" i="47"/>
  <c r="G140" i="94"/>
  <c r="F21" i="47"/>
  <c r="F140" i="94"/>
  <c r="E21" i="47"/>
  <c r="E140" i="94"/>
  <c r="D21" i="47"/>
  <c r="D140" i="94"/>
  <c r="L20" i="47"/>
  <c r="L127" i="94"/>
  <c r="I20" i="47"/>
  <c r="H20" i="47"/>
  <c r="H127" i="94"/>
  <c r="G20" i="47"/>
  <c r="G127" i="94"/>
  <c r="F20" i="47"/>
  <c r="F127" i="94"/>
  <c r="E20" i="47"/>
  <c r="E127" i="94"/>
  <c r="D20" i="47"/>
  <c r="D127" i="94"/>
  <c r="J19" i="47"/>
  <c r="H19" i="47"/>
  <c r="H114" i="94"/>
  <c r="G19" i="47"/>
  <c r="G114" i="94"/>
  <c r="F19" i="47"/>
  <c r="F114" i="94"/>
  <c r="E19" i="47"/>
  <c r="E114" i="94"/>
  <c r="D19" i="47"/>
  <c r="D114" i="94"/>
  <c r="L14" i="47"/>
  <c r="K14" i="47"/>
  <c r="K73" i="94"/>
  <c r="J14" i="47"/>
  <c r="J73" i="94"/>
  <c r="I14" i="47"/>
  <c r="I73" i="94"/>
  <c r="H14" i="47"/>
  <c r="H73" i="94"/>
  <c r="G14" i="47"/>
  <c r="G73" i="94"/>
  <c r="F14" i="47"/>
  <c r="F73" i="94"/>
  <c r="E14" i="47"/>
  <c r="D14" i="47"/>
  <c r="D73" i="94"/>
  <c r="L13" i="47"/>
  <c r="L60" i="94"/>
  <c r="K13" i="47"/>
  <c r="K60" i="94"/>
  <c r="J13" i="47"/>
  <c r="J60" i="94"/>
  <c r="I13" i="47"/>
  <c r="I60" i="94"/>
  <c r="H13" i="47"/>
  <c r="H60" i="94"/>
  <c r="G13" i="47"/>
  <c r="G60" i="94"/>
  <c r="F13" i="47"/>
  <c r="E13" i="47"/>
  <c r="E60" i="94"/>
  <c r="D13" i="47"/>
  <c r="D60" i="94"/>
  <c r="D47" i="94"/>
  <c r="L11" i="47"/>
  <c r="L34" i="94"/>
  <c r="K11" i="47"/>
  <c r="K34" i="94"/>
  <c r="J11" i="47"/>
  <c r="J34" i="94"/>
  <c r="I11" i="47"/>
  <c r="I34" i="94"/>
  <c r="H11" i="47"/>
  <c r="H34" i="94"/>
  <c r="G11" i="47"/>
  <c r="G34" i="94"/>
  <c r="F11" i="47"/>
  <c r="D11" i="46"/>
  <c r="E11" i="47"/>
  <c r="D11" i="47"/>
  <c r="D34" i="94"/>
  <c r="L10" i="47"/>
  <c r="L21" i="94"/>
  <c r="K10" i="47"/>
  <c r="K21" i="94"/>
  <c r="J10" i="47"/>
  <c r="I10" i="47"/>
  <c r="I21" i="94"/>
  <c r="H10" i="47"/>
  <c r="H21" i="94"/>
  <c r="G10" i="47"/>
  <c r="G21" i="94"/>
  <c r="F10" i="47"/>
  <c r="E10" i="47"/>
  <c r="E21" i="94"/>
  <c r="D10" i="47"/>
  <c r="D21" i="94"/>
  <c r="R103" i="42"/>
  <c r="I16" i="78"/>
  <c r="P103" i="42"/>
  <c r="L97" i="42"/>
  <c r="L920" i="94"/>
  <c r="K97" i="42"/>
  <c r="K920" i="94"/>
  <c r="J97" i="42"/>
  <c r="J920" i="94"/>
  <c r="I97" i="42"/>
  <c r="H97" i="42"/>
  <c r="H920" i="94"/>
  <c r="G97" i="42"/>
  <c r="G920" i="94"/>
  <c r="F97" i="42"/>
  <c r="F920" i="94"/>
  <c r="E97" i="42"/>
  <c r="E920" i="94"/>
  <c r="D97" i="42"/>
  <c r="D920" i="94"/>
  <c r="L96" i="42"/>
  <c r="L907" i="94"/>
  <c r="K96" i="42"/>
  <c r="K907" i="94"/>
  <c r="J96" i="42"/>
  <c r="J907" i="94"/>
  <c r="I96" i="42"/>
  <c r="I907" i="94"/>
  <c r="H96" i="42"/>
  <c r="H907" i="94"/>
  <c r="G96" i="42"/>
  <c r="G907" i="94"/>
  <c r="F96" i="42"/>
  <c r="F907" i="94"/>
  <c r="E96" i="42"/>
  <c r="E907" i="94"/>
  <c r="D96" i="42"/>
  <c r="D907" i="94"/>
  <c r="L95" i="42"/>
  <c r="L894" i="94"/>
  <c r="K95" i="42"/>
  <c r="K894" i="94"/>
  <c r="J95" i="42"/>
  <c r="J894" i="94"/>
  <c r="I95" i="42"/>
  <c r="I894" i="94"/>
  <c r="H95" i="42"/>
  <c r="H894" i="94"/>
  <c r="G95" i="42"/>
  <c r="G894" i="94"/>
  <c r="F95" i="42"/>
  <c r="F894" i="94"/>
  <c r="E95" i="42"/>
  <c r="D95" i="42"/>
  <c r="D894" i="94"/>
  <c r="L94" i="42"/>
  <c r="L881" i="94"/>
  <c r="K94" i="42"/>
  <c r="K881" i="94"/>
  <c r="J94" i="42"/>
  <c r="J881" i="94"/>
  <c r="I94" i="42"/>
  <c r="I881" i="94"/>
  <c r="H94" i="42"/>
  <c r="H881" i="94"/>
  <c r="G94" i="42"/>
  <c r="G881" i="94"/>
  <c r="F94" i="42"/>
  <c r="F881" i="94"/>
  <c r="E94" i="42"/>
  <c r="E881" i="94"/>
  <c r="D94" i="42"/>
  <c r="L93" i="42"/>
  <c r="L868" i="94"/>
  <c r="K93" i="42"/>
  <c r="K868" i="94"/>
  <c r="J93" i="42"/>
  <c r="J868" i="94"/>
  <c r="I93" i="42"/>
  <c r="I868" i="94"/>
  <c r="H93" i="42"/>
  <c r="H868" i="94"/>
  <c r="G93" i="42"/>
  <c r="G868" i="94"/>
  <c r="F93" i="42"/>
  <c r="F868" i="94"/>
  <c r="E93" i="42"/>
  <c r="E868" i="94"/>
  <c r="D93" i="42"/>
  <c r="D868" i="94"/>
  <c r="L88" i="42"/>
  <c r="L827" i="94"/>
  <c r="K88" i="42"/>
  <c r="K827" i="94"/>
  <c r="J88" i="42"/>
  <c r="J827" i="94"/>
  <c r="I88" i="42"/>
  <c r="I827" i="94"/>
  <c r="H88" i="42"/>
  <c r="H827" i="94"/>
  <c r="G88" i="42"/>
  <c r="G827" i="94"/>
  <c r="F88" i="42"/>
  <c r="E88" i="42"/>
  <c r="E827" i="94"/>
  <c r="D88" i="42"/>
  <c r="D827" i="94"/>
  <c r="S87" i="42"/>
  <c r="L121" i="42"/>
  <c r="L87" i="42"/>
  <c r="L814" i="94"/>
  <c r="K87" i="42"/>
  <c r="K814" i="94"/>
  <c r="J87" i="42"/>
  <c r="J814" i="94"/>
  <c r="I87" i="42"/>
  <c r="H87" i="42"/>
  <c r="G87" i="42"/>
  <c r="G814" i="94"/>
  <c r="F87" i="42"/>
  <c r="F814" i="94"/>
  <c r="E87" i="42"/>
  <c r="E814" i="94"/>
  <c r="D87" i="42"/>
  <c r="S84" i="42"/>
  <c r="L120" i="42"/>
  <c r="L83" i="42"/>
  <c r="L786" i="94"/>
  <c r="K83" i="42"/>
  <c r="K786" i="94"/>
  <c r="J83" i="42"/>
  <c r="J786" i="94"/>
  <c r="I83" i="42"/>
  <c r="I786" i="94"/>
  <c r="H83" i="42"/>
  <c r="H786" i="94"/>
  <c r="G83" i="42"/>
  <c r="G786" i="94"/>
  <c r="F83" i="42"/>
  <c r="F786" i="94"/>
  <c r="E83" i="42"/>
  <c r="E786" i="94"/>
  <c r="D83" i="42"/>
  <c r="D786" i="94"/>
  <c r="L82" i="42"/>
  <c r="L773" i="94"/>
  <c r="K82" i="42"/>
  <c r="K773" i="94"/>
  <c r="J82" i="42"/>
  <c r="J773" i="94"/>
  <c r="I82" i="42"/>
  <c r="I773" i="94"/>
  <c r="H82" i="42"/>
  <c r="H773" i="94"/>
  <c r="G82" i="42"/>
  <c r="G773" i="94"/>
  <c r="F82" i="42"/>
  <c r="E82" i="42"/>
  <c r="E773" i="94"/>
  <c r="D82" i="42"/>
  <c r="D773" i="94"/>
  <c r="L81" i="42"/>
  <c r="L760" i="94"/>
  <c r="K81" i="42"/>
  <c r="K760" i="94"/>
  <c r="J81" i="42"/>
  <c r="I81" i="42"/>
  <c r="I760" i="94"/>
  <c r="H81" i="42"/>
  <c r="H760" i="94"/>
  <c r="G81" i="42"/>
  <c r="G760" i="94"/>
  <c r="F81" i="42"/>
  <c r="F760" i="94"/>
  <c r="E81" i="42"/>
  <c r="D81" i="42"/>
  <c r="D760" i="94"/>
  <c r="L80" i="42"/>
  <c r="L747" i="94"/>
  <c r="K80" i="42"/>
  <c r="K747" i="94"/>
  <c r="J80" i="42"/>
  <c r="J747" i="94"/>
  <c r="I80" i="42"/>
  <c r="I747" i="94"/>
  <c r="H80" i="42"/>
  <c r="H747" i="94"/>
  <c r="G80" i="42"/>
  <c r="G747" i="94"/>
  <c r="F80" i="42"/>
  <c r="F747" i="94"/>
  <c r="E80" i="42"/>
  <c r="E747" i="94"/>
  <c r="D80" i="42"/>
  <c r="D747" i="94"/>
  <c r="S77" i="42"/>
  <c r="S76" i="42"/>
  <c r="L116" i="42"/>
  <c r="L76" i="42"/>
  <c r="L719" i="94"/>
  <c r="K76" i="42"/>
  <c r="K719" i="94"/>
  <c r="J76" i="42"/>
  <c r="J719" i="94"/>
  <c r="I76" i="42"/>
  <c r="I719" i="94"/>
  <c r="H76" i="42"/>
  <c r="H719" i="94"/>
  <c r="G76" i="42"/>
  <c r="F76" i="42"/>
  <c r="F719" i="94"/>
  <c r="E76" i="42"/>
  <c r="E719" i="94"/>
  <c r="D76" i="42"/>
  <c r="D719" i="94"/>
  <c r="L75" i="42"/>
  <c r="L706" i="94"/>
  <c r="K75" i="42"/>
  <c r="K706" i="94"/>
  <c r="J75" i="42"/>
  <c r="J706" i="94"/>
  <c r="I75" i="42"/>
  <c r="I706" i="94"/>
  <c r="H75" i="42"/>
  <c r="H706" i="94"/>
  <c r="G75" i="42"/>
  <c r="G706" i="94"/>
  <c r="F75" i="42"/>
  <c r="F706" i="94"/>
  <c r="E75" i="42"/>
  <c r="E706" i="94"/>
  <c r="D75" i="42"/>
  <c r="X74" i="42"/>
  <c r="P74" i="42"/>
  <c r="L74" i="42"/>
  <c r="L693" i="94"/>
  <c r="K74" i="42"/>
  <c r="K693" i="94"/>
  <c r="J74" i="42"/>
  <c r="I74" i="42"/>
  <c r="I693" i="94"/>
  <c r="H74" i="42"/>
  <c r="H693" i="94"/>
  <c r="G74" i="42"/>
  <c r="G693" i="94"/>
  <c r="F74" i="42"/>
  <c r="E74" i="42"/>
  <c r="E693" i="94"/>
  <c r="D74" i="42"/>
  <c r="D693" i="94"/>
  <c r="X73" i="42"/>
  <c r="R73" i="42"/>
  <c r="Q73" i="42"/>
  <c r="P73" i="42"/>
  <c r="L73" i="42"/>
  <c r="L680" i="94"/>
  <c r="K73" i="42"/>
  <c r="K680" i="94"/>
  <c r="J73" i="42"/>
  <c r="J680" i="94"/>
  <c r="I73" i="42"/>
  <c r="I680" i="94"/>
  <c r="H73" i="42"/>
  <c r="H680" i="94"/>
  <c r="G73" i="42"/>
  <c r="G680" i="94"/>
  <c r="F73" i="42"/>
  <c r="F680" i="94"/>
  <c r="E73" i="42"/>
  <c r="O73" i="42"/>
  <c r="D73" i="42"/>
  <c r="D680" i="94"/>
  <c r="X72" i="42"/>
  <c r="R72" i="42"/>
  <c r="Q72" i="42"/>
  <c r="P72" i="42"/>
  <c r="L72" i="42"/>
  <c r="L667" i="94"/>
  <c r="K72" i="42"/>
  <c r="K667" i="94"/>
  <c r="J72" i="42"/>
  <c r="J667" i="94"/>
  <c r="I72" i="42"/>
  <c r="I667" i="94"/>
  <c r="H72" i="42"/>
  <c r="H667" i="94"/>
  <c r="G72" i="42"/>
  <c r="G667" i="94"/>
  <c r="F72" i="42"/>
  <c r="F667" i="94"/>
  <c r="E72" i="42"/>
  <c r="E667" i="94"/>
  <c r="D72" i="42"/>
  <c r="D667" i="94"/>
  <c r="X71" i="42"/>
  <c r="R71" i="42"/>
  <c r="Q71" i="42"/>
  <c r="P71" i="42"/>
  <c r="L71" i="42"/>
  <c r="L654" i="94"/>
  <c r="K71" i="42"/>
  <c r="K654" i="94"/>
  <c r="J71" i="42"/>
  <c r="J654" i="94"/>
  <c r="I71" i="42"/>
  <c r="I654" i="94"/>
  <c r="H71" i="42"/>
  <c r="H654" i="94"/>
  <c r="G71" i="42"/>
  <c r="F71" i="42"/>
  <c r="E71" i="42"/>
  <c r="E654" i="94"/>
  <c r="D71" i="42"/>
  <c r="D654" i="94"/>
  <c r="X70" i="42"/>
  <c r="R70" i="42"/>
  <c r="Q70" i="42"/>
  <c r="P70" i="42"/>
  <c r="L70" i="42"/>
  <c r="L641" i="94"/>
  <c r="K70" i="42"/>
  <c r="K641" i="94"/>
  <c r="J70" i="42"/>
  <c r="J641" i="94"/>
  <c r="I70" i="42"/>
  <c r="I641" i="94"/>
  <c r="H70" i="42"/>
  <c r="H641" i="94"/>
  <c r="G70" i="42"/>
  <c r="F70" i="42"/>
  <c r="E70" i="42"/>
  <c r="E641" i="94"/>
  <c r="D70" i="42"/>
  <c r="D641" i="94"/>
  <c r="X69" i="42"/>
  <c r="R69" i="42"/>
  <c r="Q69" i="42"/>
  <c r="P69" i="42"/>
  <c r="L69" i="42"/>
  <c r="L628" i="94"/>
  <c r="K69" i="42"/>
  <c r="K628" i="94"/>
  <c r="J69" i="42"/>
  <c r="J628" i="94"/>
  <c r="I69" i="42"/>
  <c r="I628" i="94"/>
  <c r="H69" i="42"/>
  <c r="H628" i="94"/>
  <c r="G69" i="42"/>
  <c r="G628" i="94"/>
  <c r="F69" i="42"/>
  <c r="F628" i="94"/>
  <c r="E69" i="42"/>
  <c r="D69" i="42"/>
  <c r="D628" i="94"/>
  <c r="X68" i="42"/>
  <c r="R68" i="42"/>
  <c r="Q68" i="42"/>
  <c r="P68" i="42"/>
  <c r="E15" i="95"/>
  <c r="L68" i="42"/>
  <c r="L615" i="94"/>
  <c r="K68" i="42"/>
  <c r="K615" i="94"/>
  <c r="J68" i="42"/>
  <c r="J615" i="94"/>
  <c r="I68" i="42"/>
  <c r="I615" i="94"/>
  <c r="H68" i="42"/>
  <c r="H615" i="94"/>
  <c r="G68" i="42"/>
  <c r="G615" i="94"/>
  <c r="F68" i="42"/>
  <c r="D45" i="41"/>
  <c r="E68" i="42"/>
  <c r="D68" i="42"/>
  <c r="D615" i="94"/>
  <c r="X67" i="42"/>
  <c r="R67" i="42"/>
  <c r="Q67" i="42"/>
  <c r="P67" i="42"/>
  <c r="L67" i="42"/>
  <c r="L602" i="94"/>
  <c r="K67" i="42"/>
  <c r="K602" i="94"/>
  <c r="J67" i="42"/>
  <c r="J602" i="94"/>
  <c r="I67" i="42"/>
  <c r="H67" i="42"/>
  <c r="H602" i="94"/>
  <c r="G67" i="42"/>
  <c r="G602" i="94"/>
  <c r="F67" i="42"/>
  <c r="E67" i="42"/>
  <c r="E602" i="94"/>
  <c r="D67" i="42"/>
  <c r="D602" i="94"/>
  <c r="X66" i="42"/>
  <c r="R66" i="42"/>
  <c r="Q66" i="42"/>
  <c r="P66" i="42"/>
  <c r="L66" i="42"/>
  <c r="K66" i="42"/>
  <c r="K589" i="94"/>
  <c r="J66" i="42"/>
  <c r="J589" i="94"/>
  <c r="I66" i="42"/>
  <c r="I589" i="94"/>
  <c r="H66" i="42"/>
  <c r="G66" i="42"/>
  <c r="G589" i="94"/>
  <c r="F66" i="42"/>
  <c r="E66" i="42"/>
  <c r="E589" i="94"/>
  <c r="D66" i="42"/>
  <c r="X65" i="42"/>
  <c r="R65" i="42"/>
  <c r="Q65" i="42"/>
  <c r="P65" i="42"/>
  <c r="L65" i="42"/>
  <c r="L576" i="94"/>
  <c r="K65" i="42"/>
  <c r="J65" i="42"/>
  <c r="J576" i="94"/>
  <c r="I65" i="42"/>
  <c r="I576" i="94"/>
  <c r="H65" i="42"/>
  <c r="H576" i="94"/>
  <c r="G65" i="42"/>
  <c r="G576" i="94"/>
  <c r="F65" i="42"/>
  <c r="F576" i="94"/>
  <c r="E65" i="42"/>
  <c r="D65" i="42"/>
  <c r="D576" i="94"/>
  <c r="L61" i="42"/>
  <c r="K61" i="42"/>
  <c r="J61" i="42"/>
  <c r="J536" i="94"/>
  <c r="I61" i="42"/>
  <c r="I536" i="94"/>
  <c r="H61" i="42"/>
  <c r="H536" i="94"/>
  <c r="G61" i="42"/>
  <c r="G536" i="94"/>
  <c r="F61" i="42"/>
  <c r="E61" i="42"/>
  <c r="E536" i="94"/>
  <c r="D61" i="42"/>
  <c r="L60" i="42"/>
  <c r="L523" i="94"/>
  <c r="K60" i="42"/>
  <c r="K523" i="94"/>
  <c r="J60" i="42"/>
  <c r="J523" i="94"/>
  <c r="I60" i="42"/>
  <c r="I523" i="94"/>
  <c r="H60" i="42"/>
  <c r="G60" i="42"/>
  <c r="G523" i="94"/>
  <c r="F60" i="42"/>
  <c r="F523" i="94"/>
  <c r="E60" i="42"/>
  <c r="E523" i="94"/>
  <c r="D60" i="42"/>
  <c r="D523" i="94"/>
  <c r="L59" i="42"/>
  <c r="L510" i="94"/>
  <c r="K59" i="42"/>
  <c r="K510" i="94"/>
  <c r="J59" i="42"/>
  <c r="I59" i="42"/>
  <c r="H59" i="42"/>
  <c r="H510" i="94"/>
  <c r="G59" i="42"/>
  <c r="G510" i="94"/>
  <c r="F59" i="42"/>
  <c r="F510" i="94"/>
  <c r="E59" i="42"/>
  <c r="E510" i="94"/>
  <c r="D59" i="42"/>
  <c r="D510" i="94"/>
  <c r="L58" i="42"/>
  <c r="L497" i="94"/>
  <c r="K58" i="42"/>
  <c r="K497" i="94"/>
  <c r="J58" i="42"/>
  <c r="J497" i="94"/>
  <c r="I58" i="42"/>
  <c r="I497" i="94"/>
  <c r="H58" i="42"/>
  <c r="H497" i="94"/>
  <c r="G58" i="42"/>
  <c r="F58" i="42"/>
  <c r="F497" i="94"/>
  <c r="E58" i="42"/>
  <c r="E497" i="94"/>
  <c r="D58" i="42"/>
  <c r="D497" i="94"/>
  <c r="L57" i="42"/>
  <c r="L484" i="94"/>
  <c r="K57" i="42"/>
  <c r="K484" i="94"/>
  <c r="J57" i="42"/>
  <c r="J484" i="94"/>
  <c r="I57" i="42"/>
  <c r="I484" i="94"/>
  <c r="H57" i="42"/>
  <c r="H484" i="94"/>
  <c r="G57" i="42"/>
  <c r="G484" i="94"/>
  <c r="F57" i="42"/>
  <c r="F484" i="94"/>
  <c r="E57" i="42"/>
  <c r="E484" i="94"/>
  <c r="D57" i="42"/>
  <c r="D484" i="94"/>
  <c r="L56" i="42"/>
  <c r="L471" i="94"/>
  <c r="K56" i="42"/>
  <c r="K471" i="94"/>
  <c r="J56" i="42"/>
  <c r="J471" i="94"/>
  <c r="I56" i="42"/>
  <c r="I471" i="94"/>
  <c r="H56" i="42"/>
  <c r="H471" i="94"/>
  <c r="G56" i="42"/>
  <c r="G471" i="94"/>
  <c r="F56" i="42"/>
  <c r="F471" i="94"/>
  <c r="E56" i="42"/>
  <c r="D56" i="42"/>
  <c r="D471" i="94"/>
  <c r="L53" i="42"/>
  <c r="L456" i="94"/>
  <c r="K53" i="42"/>
  <c r="K456" i="94"/>
  <c r="J53" i="42"/>
  <c r="J456" i="94"/>
  <c r="I53" i="42"/>
  <c r="I456" i="94"/>
  <c r="H53" i="42"/>
  <c r="H456" i="94"/>
  <c r="G53" i="42"/>
  <c r="G456" i="94"/>
  <c r="F53" i="42"/>
  <c r="F456" i="94"/>
  <c r="E53" i="42"/>
  <c r="D53" i="42"/>
  <c r="L50" i="42"/>
  <c r="L441" i="94"/>
  <c r="K50" i="42"/>
  <c r="K441" i="94"/>
  <c r="J50" i="42"/>
  <c r="J441" i="94"/>
  <c r="I50" i="42"/>
  <c r="I441" i="94"/>
  <c r="H50" i="42"/>
  <c r="H441" i="94"/>
  <c r="G50" i="42"/>
  <c r="G441" i="94"/>
  <c r="F50" i="42"/>
  <c r="E50" i="42"/>
  <c r="D50" i="42"/>
  <c r="D441" i="94"/>
  <c r="L47" i="42"/>
  <c r="L426" i="94"/>
  <c r="K47" i="42"/>
  <c r="K426" i="94"/>
  <c r="J47" i="42"/>
  <c r="J426" i="94"/>
  <c r="I47" i="42"/>
  <c r="I426" i="94"/>
  <c r="H47" i="42"/>
  <c r="H426" i="94"/>
  <c r="G47" i="42"/>
  <c r="F47" i="42"/>
  <c r="F426" i="94"/>
  <c r="E47" i="42"/>
  <c r="E426" i="94"/>
  <c r="D47" i="42"/>
  <c r="D426" i="94"/>
  <c r="L41" i="42"/>
  <c r="L384" i="94"/>
  <c r="K41" i="42"/>
  <c r="K384" i="94"/>
  <c r="J41" i="42"/>
  <c r="J384" i="94"/>
  <c r="I41" i="42"/>
  <c r="I384" i="94"/>
  <c r="H41" i="42"/>
  <c r="H384" i="94"/>
  <c r="G41" i="42"/>
  <c r="G384" i="94"/>
  <c r="F41" i="42"/>
  <c r="F384" i="94"/>
  <c r="E41" i="42"/>
  <c r="E384" i="94"/>
  <c r="D41" i="42"/>
  <c r="D384" i="94"/>
  <c r="L40" i="42"/>
  <c r="K40" i="42"/>
  <c r="K371" i="94"/>
  <c r="J40" i="42"/>
  <c r="J371" i="94"/>
  <c r="I40" i="42"/>
  <c r="I371" i="94"/>
  <c r="H40" i="42"/>
  <c r="H371" i="94"/>
  <c r="G40" i="42"/>
  <c r="G371" i="94"/>
  <c r="F40" i="42"/>
  <c r="E40" i="42"/>
  <c r="E371" i="94"/>
  <c r="D40" i="42"/>
  <c r="D371" i="94"/>
  <c r="L39" i="42"/>
  <c r="L358" i="94"/>
  <c r="K39" i="42"/>
  <c r="K358" i="94"/>
  <c r="J39" i="42"/>
  <c r="J358" i="94"/>
  <c r="I39" i="42"/>
  <c r="I358" i="94"/>
  <c r="H39" i="42"/>
  <c r="H358" i="94"/>
  <c r="G39" i="42"/>
  <c r="F39" i="42"/>
  <c r="F358" i="94"/>
  <c r="E39" i="42"/>
  <c r="E358" i="94"/>
  <c r="D39" i="42"/>
  <c r="D358" i="94"/>
  <c r="L38" i="42"/>
  <c r="L345" i="94"/>
  <c r="K38" i="42"/>
  <c r="K345" i="94"/>
  <c r="J38" i="42"/>
  <c r="I38" i="42"/>
  <c r="H38" i="42"/>
  <c r="H345" i="94"/>
  <c r="G38" i="42"/>
  <c r="G345" i="94"/>
  <c r="F38" i="42"/>
  <c r="F345" i="94"/>
  <c r="E38" i="42"/>
  <c r="E345" i="94"/>
  <c r="D38" i="42"/>
  <c r="L37" i="42"/>
  <c r="L332" i="94"/>
  <c r="K37" i="42"/>
  <c r="K332" i="94"/>
  <c r="J37" i="42"/>
  <c r="J332" i="94"/>
  <c r="I37" i="42"/>
  <c r="I332" i="94"/>
  <c r="H37" i="42"/>
  <c r="H332" i="94"/>
  <c r="G37" i="42"/>
  <c r="G332" i="94"/>
  <c r="F37" i="42"/>
  <c r="F332" i="94"/>
  <c r="E37" i="42"/>
  <c r="E332" i="94"/>
  <c r="D37" i="42"/>
  <c r="D332" i="94"/>
  <c r="L36" i="42"/>
  <c r="L319" i="94"/>
  <c r="K36" i="42"/>
  <c r="K319" i="94"/>
  <c r="J36" i="42"/>
  <c r="J319" i="94"/>
  <c r="I36" i="42"/>
  <c r="H36" i="42"/>
  <c r="H319" i="94"/>
  <c r="G36" i="42"/>
  <c r="G319" i="94"/>
  <c r="F36" i="42"/>
  <c r="F319" i="94"/>
  <c r="E36" i="42"/>
  <c r="D36" i="42"/>
  <c r="D319" i="94"/>
  <c r="L35" i="42"/>
  <c r="L306" i="94"/>
  <c r="K35" i="42"/>
  <c r="K306" i="94"/>
  <c r="J35" i="42"/>
  <c r="J306" i="94"/>
  <c r="I35" i="42"/>
  <c r="I306" i="94"/>
  <c r="H35" i="42"/>
  <c r="H306" i="94"/>
  <c r="G35" i="42"/>
  <c r="F35" i="42"/>
  <c r="F306" i="94"/>
  <c r="E35" i="42"/>
  <c r="D35" i="42"/>
  <c r="D306" i="94"/>
  <c r="R34" i="42"/>
  <c r="L114" i="42"/>
  <c r="L34" i="42"/>
  <c r="L293" i="94"/>
  <c r="K34" i="42"/>
  <c r="K293" i="94"/>
  <c r="J34" i="42"/>
  <c r="J293" i="94"/>
  <c r="I34" i="42"/>
  <c r="I293" i="94"/>
  <c r="H34" i="42"/>
  <c r="G34" i="42"/>
  <c r="G293" i="94"/>
  <c r="F34" i="42"/>
  <c r="F293" i="94"/>
  <c r="E34" i="42"/>
  <c r="E293" i="94"/>
  <c r="D34" i="42"/>
  <c r="D293" i="94"/>
  <c r="L33" i="42"/>
  <c r="L280" i="94"/>
  <c r="K33" i="42"/>
  <c r="K280" i="94"/>
  <c r="J33" i="42"/>
  <c r="J280" i="94"/>
  <c r="I33" i="42"/>
  <c r="I280" i="94"/>
  <c r="H33" i="42"/>
  <c r="H280" i="94"/>
  <c r="G33" i="42"/>
  <c r="G280" i="94"/>
  <c r="F33" i="42"/>
  <c r="E33" i="42"/>
  <c r="E280" i="94"/>
  <c r="D33" i="42"/>
  <c r="D280" i="94"/>
  <c r="Q32" i="42"/>
  <c r="L113" i="42"/>
  <c r="L32" i="42"/>
  <c r="L267" i="94"/>
  <c r="K32" i="42"/>
  <c r="K267" i="94"/>
  <c r="J32" i="42"/>
  <c r="I32" i="42"/>
  <c r="I267" i="94"/>
  <c r="H32" i="42"/>
  <c r="H267" i="94"/>
  <c r="G32" i="42"/>
  <c r="G267" i="94"/>
  <c r="F32" i="42"/>
  <c r="F267" i="94"/>
  <c r="E32" i="42"/>
  <c r="E267" i="94"/>
  <c r="D32" i="42"/>
  <c r="D267" i="94"/>
  <c r="L28" i="42"/>
  <c r="L227" i="94"/>
  <c r="K28" i="42"/>
  <c r="K227" i="94"/>
  <c r="J28" i="42"/>
  <c r="J227" i="94"/>
  <c r="I28" i="42"/>
  <c r="I227" i="94"/>
  <c r="H28" i="42"/>
  <c r="H227" i="94"/>
  <c r="G28" i="42"/>
  <c r="G227" i="94"/>
  <c r="F28" i="42"/>
  <c r="F227" i="94"/>
  <c r="E28" i="42"/>
  <c r="D28" i="42"/>
  <c r="D227" i="94"/>
  <c r="L27" i="42"/>
  <c r="L214" i="94"/>
  <c r="K27" i="42"/>
  <c r="K214" i="94"/>
  <c r="J27" i="42"/>
  <c r="J214" i="94"/>
  <c r="I27" i="42"/>
  <c r="I214" i="94"/>
  <c r="H27" i="42"/>
  <c r="G27" i="42"/>
  <c r="G214" i="94"/>
  <c r="F27" i="42"/>
  <c r="F214" i="94"/>
  <c r="E27" i="42"/>
  <c r="E214" i="94"/>
  <c r="D27" i="42"/>
  <c r="D214" i="94"/>
  <c r="L26" i="42"/>
  <c r="L201" i="94"/>
  <c r="K26" i="42"/>
  <c r="K201" i="94"/>
  <c r="J26" i="42"/>
  <c r="J201" i="94"/>
  <c r="I26" i="42"/>
  <c r="H26" i="42"/>
  <c r="H201" i="94"/>
  <c r="G26" i="42"/>
  <c r="G201" i="94"/>
  <c r="F26" i="42"/>
  <c r="F201" i="94"/>
  <c r="E26" i="42"/>
  <c r="L25" i="42"/>
  <c r="L188" i="94"/>
  <c r="K25" i="42"/>
  <c r="K188" i="94"/>
  <c r="J25" i="42"/>
  <c r="J188" i="94"/>
  <c r="I25" i="42"/>
  <c r="I188" i="94"/>
  <c r="H25" i="42"/>
  <c r="H188" i="94"/>
  <c r="G25" i="42"/>
  <c r="G188" i="94"/>
  <c r="F25" i="42"/>
  <c r="F188" i="94"/>
  <c r="E25" i="42"/>
  <c r="D25" i="42"/>
  <c r="D188" i="94"/>
  <c r="L24" i="42"/>
  <c r="L175" i="94"/>
  <c r="K24" i="42"/>
  <c r="J24" i="42"/>
  <c r="J175" i="94"/>
  <c r="I24" i="42"/>
  <c r="I175" i="94"/>
  <c r="H24" i="42"/>
  <c r="H175" i="94"/>
  <c r="G24" i="42"/>
  <c r="G175" i="94"/>
  <c r="F24" i="42"/>
  <c r="F175" i="94"/>
  <c r="E24" i="42"/>
  <c r="E175" i="94"/>
  <c r="D24" i="42"/>
  <c r="L23" i="42"/>
  <c r="L162" i="94"/>
  <c r="K23" i="42"/>
  <c r="J23" i="42"/>
  <c r="J162" i="94"/>
  <c r="I23" i="42"/>
  <c r="I162" i="94"/>
  <c r="H23" i="42"/>
  <c r="H162" i="94"/>
  <c r="G23" i="42"/>
  <c r="F23" i="42"/>
  <c r="F162" i="94"/>
  <c r="E23" i="42"/>
  <c r="D23" i="42"/>
  <c r="D162" i="94"/>
  <c r="L22" i="42"/>
  <c r="L149" i="94"/>
  <c r="K22" i="42"/>
  <c r="K149" i="94"/>
  <c r="J22" i="42"/>
  <c r="J149" i="94"/>
  <c r="I22" i="42"/>
  <c r="I149" i="94"/>
  <c r="H22" i="42"/>
  <c r="G22" i="42"/>
  <c r="G149" i="94"/>
  <c r="F22" i="42"/>
  <c r="F149" i="94"/>
  <c r="E22" i="42"/>
  <c r="E149" i="94"/>
  <c r="D22" i="42"/>
  <c r="D149" i="94"/>
  <c r="L21" i="42"/>
  <c r="L136" i="94"/>
  <c r="K21" i="42"/>
  <c r="K136" i="94"/>
  <c r="J21" i="42"/>
  <c r="J136" i="94"/>
  <c r="I21" i="42"/>
  <c r="I136" i="94"/>
  <c r="H21" i="42"/>
  <c r="H136" i="94"/>
  <c r="G21" i="42"/>
  <c r="G136" i="94"/>
  <c r="F21" i="42"/>
  <c r="F136" i="94"/>
  <c r="E21" i="42"/>
  <c r="E136" i="94"/>
  <c r="D21" i="42"/>
  <c r="D136" i="94"/>
  <c r="L20" i="42"/>
  <c r="L123" i="94"/>
  <c r="I20" i="42"/>
  <c r="I123" i="94"/>
  <c r="H20" i="42"/>
  <c r="H123" i="94"/>
  <c r="G20" i="42"/>
  <c r="G123" i="94"/>
  <c r="F20" i="42"/>
  <c r="E20" i="42"/>
  <c r="E123" i="94"/>
  <c r="D20" i="42"/>
  <c r="D123" i="94"/>
  <c r="J19" i="42"/>
  <c r="J110" i="94"/>
  <c r="H19" i="42"/>
  <c r="H110" i="94"/>
  <c r="G19" i="42"/>
  <c r="F19" i="42"/>
  <c r="F110" i="94"/>
  <c r="E19" i="42"/>
  <c r="E110" i="94"/>
  <c r="D19" i="42"/>
  <c r="D110" i="94"/>
  <c r="L14" i="42"/>
  <c r="L69" i="94"/>
  <c r="K14" i="42"/>
  <c r="K69" i="94"/>
  <c r="J14" i="42"/>
  <c r="J69" i="94"/>
  <c r="I14" i="42"/>
  <c r="I69" i="94"/>
  <c r="H14" i="42"/>
  <c r="G14" i="42"/>
  <c r="F14" i="42"/>
  <c r="F69" i="94"/>
  <c r="E14" i="42"/>
  <c r="D14" i="42"/>
  <c r="D69" i="94"/>
  <c r="L13" i="42"/>
  <c r="L56" i="94"/>
  <c r="K13" i="42"/>
  <c r="K56" i="94"/>
  <c r="J13" i="42"/>
  <c r="I13" i="42"/>
  <c r="H13" i="42"/>
  <c r="G13" i="42"/>
  <c r="G56" i="94"/>
  <c r="F13" i="42"/>
  <c r="F56" i="94"/>
  <c r="E13" i="42"/>
  <c r="E56" i="94"/>
  <c r="D13" i="42"/>
  <c r="D56" i="94"/>
  <c r="D43" i="94"/>
  <c r="L11" i="42"/>
  <c r="L30" i="94"/>
  <c r="K11" i="42"/>
  <c r="K30" i="94"/>
  <c r="J11" i="42"/>
  <c r="J30" i="94"/>
  <c r="I11" i="42"/>
  <c r="I30" i="94"/>
  <c r="H11" i="42"/>
  <c r="H30" i="94"/>
  <c r="G11" i="42"/>
  <c r="G30" i="94"/>
  <c r="F11" i="42"/>
  <c r="D11" i="41"/>
  <c r="E11" i="42"/>
  <c r="D11" i="42"/>
  <c r="L10" i="42"/>
  <c r="L17" i="94"/>
  <c r="K10" i="42"/>
  <c r="K17" i="94"/>
  <c r="J10" i="42"/>
  <c r="J17" i="94"/>
  <c r="I10" i="42"/>
  <c r="I17" i="94"/>
  <c r="H10" i="42"/>
  <c r="H17" i="94"/>
  <c r="G10" i="42"/>
  <c r="G17" i="94"/>
  <c r="F10" i="42"/>
  <c r="E10" i="42"/>
  <c r="E17" i="94"/>
  <c r="D10" i="42"/>
  <c r="D17" i="94"/>
  <c r="R103" i="37"/>
  <c r="P103" i="37"/>
  <c r="L97" i="37"/>
  <c r="L921" i="94"/>
  <c r="K97" i="37"/>
  <c r="K921" i="94"/>
  <c r="J97" i="37"/>
  <c r="J921" i="94"/>
  <c r="I97" i="37"/>
  <c r="I921" i="94"/>
  <c r="H97" i="37"/>
  <c r="H921" i="94"/>
  <c r="G97" i="37"/>
  <c r="G921" i="94"/>
  <c r="F97" i="37"/>
  <c r="F921" i="94"/>
  <c r="E97" i="37"/>
  <c r="E921" i="94"/>
  <c r="D97" i="37"/>
  <c r="D921" i="94"/>
  <c r="L96" i="37"/>
  <c r="L908" i="94"/>
  <c r="K96" i="37"/>
  <c r="K908" i="94"/>
  <c r="J96" i="37"/>
  <c r="J908" i="94"/>
  <c r="I96" i="37"/>
  <c r="I908" i="94"/>
  <c r="H96" i="37"/>
  <c r="H908" i="94"/>
  <c r="G96" i="37"/>
  <c r="G908" i="94"/>
  <c r="F96" i="37"/>
  <c r="F908" i="94"/>
  <c r="E96" i="37"/>
  <c r="E908" i="94"/>
  <c r="D96" i="37"/>
  <c r="D908" i="94"/>
  <c r="L95" i="37"/>
  <c r="L895" i="94"/>
  <c r="K95" i="37"/>
  <c r="K895" i="94"/>
  <c r="J95" i="37"/>
  <c r="J895" i="94"/>
  <c r="I95" i="37"/>
  <c r="I895" i="94"/>
  <c r="H95" i="37"/>
  <c r="H895" i="94"/>
  <c r="G95" i="37"/>
  <c r="G895" i="94"/>
  <c r="F95" i="37"/>
  <c r="F895" i="94"/>
  <c r="E95" i="37"/>
  <c r="E895" i="94"/>
  <c r="D95" i="37"/>
  <c r="L94" i="37"/>
  <c r="L882" i="94"/>
  <c r="K94" i="37"/>
  <c r="K882" i="94"/>
  <c r="J94" i="37"/>
  <c r="J882" i="94"/>
  <c r="I94" i="37"/>
  <c r="I882" i="94"/>
  <c r="H94" i="37"/>
  <c r="H882" i="94"/>
  <c r="G94" i="37"/>
  <c r="G882" i="94"/>
  <c r="F94" i="37"/>
  <c r="F882" i="94"/>
  <c r="E94" i="37"/>
  <c r="E882" i="94"/>
  <c r="D94" i="37"/>
  <c r="D882" i="94"/>
  <c r="L93" i="37"/>
  <c r="L869" i="94"/>
  <c r="K93" i="37"/>
  <c r="K869" i="94"/>
  <c r="J93" i="37"/>
  <c r="J869" i="94"/>
  <c r="I93" i="37"/>
  <c r="I869" i="94"/>
  <c r="H93" i="37"/>
  <c r="H869" i="94"/>
  <c r="G93" i="37"/>
  <c r="G869" i="94"/>
  <c r="F93" i="37"/>
  <c r="F869" i="94"/>
  <c r="E93" i="37"/>
  <c r="D93" i="37"/>
  <c r="D869" i="94"/>
  <c r="L88" i="37"/>
  <c r="L828" i="94"/>
  <c r="K88" i="37"/>
  <c r="K828" i="94"/>
  <c r="J88" i="37"/>
  <c r="J828" i="94"/>
  <c r="I88" i="37"/>
  <c r="H88" i="37"/>
  <c r="H828" i="94"/>
  <c r="G88" i="37"/>
  <c r="F88" i="37"/>
  <c r="F828" i="94"/>
  <c r="E88" i="37"/>
  <c r="E828" i="94"/>
  <c r="D88" i="37"/>
  <c r="D828" i="94"/>
  <c r="S87" i="37"/>
  <c r="L121" i="37"/>
  <c r="L87" i="37"/>
  <c r="L815" i="94"/>
  <c r="K87" i="37"/>
  <c r="K815" i="94"/>
  <c r="J87" i="37"/>
  <c r="J815" i="94"/>
  <c r="I87" i="37"/>
  <c r="I815" i="94"/>
  <c r="H87" i="37"/>
  <c r="H815" i="94"/>
  <c r="G87" i="37"/>
  <c r="F87" i="37"/>
  <c r="F815" i="94"/>
  <c r="E87" i="37"/>
  <c r="E815" i="94"/>
  <c r="D87" i="37"/>
  <c r="D815" i="94"/>
  <c r="S84" i="37"/>
  <c r="L120" i="37"/>
  <c r="L83" i="37"/>
  <c r="L787" i="94"/>
  <c r="K83" i="37"/>
  <c r="K787" i="94"/>
  <c r="J83" i="37"/>
  <c r="J787" i="94"/>
  <c r="I83" i="37"/>
  <c r="I787" i="94"/>
  <c r="H83" i="37"/>
  <c r="H787" i="94"/>
  <c r="G83" i="37"/>
  <c r="G787" i="94"/>
  <c r="F83" i="37"/>
  <c r="E83" i="37"/>
  <c r="E787" i="94"/>
  <c r="D83" i="37"/>
  <c r="D787" i="94"/>
  <c r="L82" i="37"/>
  <c r="L774" i="94"/>
  <c r="K82" i="37"/>
  <c r="K774" i="94"/>
  <c r="J82" i="37"/>
  <c r="J774" i="94"/>
  <c r="I82" i="37"/>
  <c r="I774" i="94"/>
  <c r="H82" i="37"/>
  <c r="H774" i="94"/>
  <c r="G82" i="37"/>
  <c r="G774" i="94"/>
  <c r="F82" i="37"/>
  <c r="F774" i="94"/>
  <c r="E82" i="37"/>
  <c r="E774" i="94"/>
  <c r="D82" i="37"/>
  <c r="D774" i="94"/>
  <c r="L81" i="37"/>
  <c r="L761" i="94"/>
  <c r="K81" i="37"/>
  <c r="K761" i="94"/>
  <c r="J81" i="37"/>
  <c r="J761" i="94"/>
  <c r="I81" i="37"/>
  <c r="I761" i="94"/>
  <c r="H81" i="37"/>
  <c r="H761" i="94"/>
  <c r="G81" i="37"/>
  <c r="G761" i="94"/>
  <c r="F81" i="37"/>
  <c r="F761" i="94"/>
  <c r="E81" i="37"/>
  <c r="D81" i="37"/>
  <c r="D761" i="94"/>
  <c r="L80" i="37"/>
  <c r="L748" i="94"/>
  <c r="K80" i="37"/>
  <c r="K748" i="94"/>
  <c r="J80" i="37"/>
  <c r="J748" i="94"/>
  <c r="I80" i="37"/>
  <c r="I748" i="94"/>
  <c r="H80" i="37"/>
  <c r="H748" i="94"/>
  <c r="G80" i="37"/>
  <c r="G748" i="94"/>
  <c r="F80" i="37"/>
  <c r="E80" i="37"/>
  <c r="D80" i="37"/>
  <c r="S77" i="37"/>
  <c r="L116" i="37"/>
  <c r="S76" i="37"/>
  <c r="L76" i="37"/>
  <c r="L720" i="94"/>
  <c r="K76" i="37"/>
  <c r="K720" i="94"/>
  <c r="J76" i="37"/>
  <c r="J720" i="94"/>
  <c r="I76" i="37"/>
  <c r="I720" i="94"/>
  <c r="H76" i="37"/>
  <c r="H720" i="94"/>
  <c r="G76" i="37"/>
  <c r="G720" i="94"/>
  <c r="F76" i="37"/>
  <c r="F720" i="94"/>
  <c r="E76" i="37"/>
  <c r="E720" i="94"/>
  <c r="D76" i="37"/>
  <c r="D720" i="94"/>
  <c r="L75" i="37"/>
  <c r="L707" i="94"/>
  <c r="K75" i="37"/>
  <c r="K707" i="94"/>
  <c r="J75" i="37"/>
  <c r="J707" i="94"/>
  <c r="I75" i="37"/>
  <c r="I707" i="94"/>
  <c r="H75" i="37"/>
  <c r="G75" i="37"/>
  <c r="G707" i="94"/>
  <c r="F75" i="37"/>
  <c r="F707" i="94"/>
  <c r="E75" i="37"/>
  <c r="E707" i="94"/>
  <c r="D75" i="37"/>
  <c r="D707" i="94"/>
  <c r="X74" i="37"/>
  <c r="P74" i="37"/>
  <c r="L74" i="37"/>
  <c r="L694" i="94"/>
  <c r="K74" i="37"/>
  <c r="K694" i="94"/>
  <c r="J74" i="37"/>
  <c r="J694" i="94"/>
  <c r="I74" i="37"/>
  <c r="I694" i="94"/>
  <c r="H74" i="37"/>
  <c r="H694" i="94"/>
  <c r="G74" i="37"/>
  <c r="G694" i="94"/>
  <c r="F74" i="37"/>
  <c r="F694" i="94"/>
  <c r="E74" i="37"/>
  <c r="E694" i="94"/>
  <c r="D74" i="37"/>
  <c r="D694" i="94"/>
  <c r="X73" i="37"/>
  <c r="R73" i="37"/>
  <c r="Q73" i="37"/>
  <c r="P73" i="37"/>
  <c r="L73" i="37"/>
  <c r="L681" i="94"/>
  <c r="K73" i="37"/>
  <c r="K681" i="94"/>
  <c r="J73" i="37"/>
  <c r="J681" i="94"/>
  <c r="I73" i="37"/>
  <c r="I681" i="94"/>
  <c r="H73" i="37"/>
  <c r="H681" i="94"/>
  <c r="G73" i="37"/>
  <c r="G681" i="94"/>
  <c r="F73" i="37"/>
  <c r="E73" i="37"/>
  <c r="D73" i="37"/>
  <c r="D681" i="94"/>
  <c r="X72" i="37"/>
  <c r="R72" i="37"/>
  <c r="Q72" i="37"/>
  <c r="P72" i="37"/>
  <c r="L72" i="37"/>
  <c r="K72" i="37"/>
  <c r="K668" i="94"/>
  <c r="J72" i="37"/>
  <c r="J668" i="94"/>
  <c r="I72" i="37"/>
  <c r="I668" i="94"/>
  <c r="H72" i="37"/>
  <c r="H668" i="94"/>
  <c r="G72" i="37"/>
  <c r="G668" i="94"/>
  <c r="F72" i="37"/>
  <c r="F668" i="94"/>
  <c r="E72" i="37"/>
  <c r="E668" i="94"/>
  <c r="D72" i="37"/>
  <c r="D668" i="94"/>
  <c r="X71" i="37"/>
  <c r="R71" i="37"/>
  <c r="Q71" i="37"/>
  <c r="P71" i="37"/>
  <c r="L71" i="37"/>
  <c r="L655" i="94"/>
  <c r="K71" i="37"/>
  <c r="K655" i="94"/>
  <c r="J71" i="37"/>
  <c r="I71" i="37"/>
  <c r="I655" i="94"/>
  <c r="H71" i="37"/>
  <c r="H655" i="94"/>
  <c r="G71" i="37"/>
  <c r="G655" i="94"/>
  <c r="F71" i="37"/>
  <c r="D48" i="36"/>
  <c r="E71" i="37"/>
  <c r="E655" i="94"/>
  <c r="D71" i="37"/>
  <c r="D655" i="94"/>
  <c r="X70" i="37"/>
  <c r="R70" i="37"/>
  <c r="Q70" i="37"/>
  <c r="P70" i="37"/>
  <c r="L70" i="37"/>
  <c r="L642" i="94"/>
  <c r="K70" i="37"/>
  <c r="K642" i="94"/>
  <c r="J70" i="37"/>
  <c r="J642" i="94"/>
  <c r="I70" i="37"/>
  <c r="I642" i="94"/>
  <c r="H70" i="37"/>
  <c r="H642" i="94"/>
  <c r="G70" i="37"/>
  <c r="F70" i="37"/>
  <c r="F642" i="94"/>
  <c r="E70" i="37"/>
  <c r="E642" i="94"/>
  <c r="D70" i="37"/>
  <c r="D642" i="94"/>
  <c r="X69" i="37"/>
  <c r="R69" i="37"/>
  <c r="Q69" i="37"/>
  <c r="P69" i="37"/>
  <c r="L69" i="37"/>
  <c r="L629" i="94"/>
  <c r="K69" i="37"/>
  <c r="K629" i="94"/>
  <c r="J69" i="37"/>
  <c r="J629" i="94"/>
  <c r="I69" i="37"/>
  <c r="I629" i="94"/>
  <c r="H69" i="37"/>
  <c r="H629" i="94"/>
  <c r="G69" i="37"/>
  <c r="G629" i="94"/>
  <c r="F69" i="37"/>
  <c r="D46" i="36"/>
  <c r="F629" i="94"/>
  <c r="E69" i="37"/>
  <c r="E629" i="94"/>
  <c r="D69" i="37"/>
  <c r="D629" i="94"/>
  <c r="X68" i="37"/>
  <c r="R68" i="37"/>
  <c r="Q68" i="37"/>
  <c r="P68" i="37"/>
  <c r="L68" i="37"/>
  <c r="L616" i="94"/>
  <c r="K68" i="37"/>
  <c r="J68" i="37"/>
  <c r="J616" i="94"/>
  <c r="I68" i="37"/>
  <c r="I616" i="94"/>
  <c r="H68" i="37"/>
  <c r="H616" i="94"/>
  <c r="G68" i="37"/>
  <c r="G616" i="94"/>
  <c r="F68" i="37"/>
  <c r="E68" i="37"/>
  <c r="D68" i="37"/>
  <c r="X67" i="37"/>
  <c r="R67" i="37"/>
  <c r="Q67" i="37"/>
  <c r="P67" i="37"/>
  <c r="L67" i="37"/>
  <c r="L603" i="94"/>
  <c r="K67" i="37"/>
  <c r="K603" i="94"/>
  <c r="J67" i="37"/>
  <c r="J603" i="94"/>
  <c r="I67" i="37"/>
  <c r="H67" i="37"/>
  <c r="H603" i="94"/>
  <c r="G67" i="37"/>
  <c r="G603" i="94"/>
  <c r="F67" i="37"/>
  <c r="F603" i="94"/>
  <c r="E67" i="37"/>
  <c r="E603" i="94"/>
  <c r="D67" i="37"/>
  <c r="X66" i="37"/>
  <c r="R66" i="37"/>
  <c r="Q66" i="37"/>
  <c r="P66" i="37"/>
  <c r="L66" i="37"/>
  <c r="L590" i="94"/>
  <c r="K66" i="37"/>
  <c r="K590" i="94"/>
  <c r="J66" i="37"/>
  <c r="I66" i="37"/>
  <c r="I590" i="94"/>
  <c r="H66" i="37"/>
  <c r="G66" i="37"/>
  <c r="F66" i="37"/>
  <c r="F590" i="94"/>
  <c r="E66" i="37"/>
  <c r="E590" i="94"/>
  <c r="D66" i="37"/>
  <c r="D590" i="94"/>
  <c r="X65" i="37"/>
  <c r="R65" i="37"/>
  <c r="Q65" i="37"/>
  <c r="P65" i="37"/>
  <c r="L65" i="37"/>
  <c r="L577" i="94"/>
  <c r="K65" i="37"/>
  <c r="K577" i="94"/>
  <c r="J65" i="37"/>
  <c r="J577" i="94"/>
  <c r="I65" i="37"/>
  <c r="I577" i="94"/>
  <c r="H65" i="37"/>
  <c r="G65" i="37"/>
  <c r="G577" i="94"/>
  <c r="F65" i="37"/>
  <c r="F577" i="94"/>
  <c r="E65" i="37"/>
  <c r="E577" i="94"/>
  <c r="D65" i="37"/>
  <c r="D577" i="94"/>
  <c r="L61" i="37"/>
  <c r="L537" i="94"/>
  <c r="K61" i="37"/>
  <c r="K537" i="94"/>
  <c r="J61" i="37"/>
  <c r="J537" i="94"/>
  <c r="I61" i="37"/>
  <c r="I537" i="94"/>
  <c r="H61" i="37"/>
  <c r="H537" i="94"/>
  <c r="G61" i="37"/>
  <c r="G537" i="94"/>
  <c r="F61" i="37"/>
  <c r="F537" i="94"/>
  <c r="E61" i="37"/>
  <c r="E537" i="94"/>
  <c r="D61" i="37"/>
  <c r="L60" i="37"/>
  <c r="L524" i="94"/>
  <c r="K60" i="37"/>
  <c r="K524" i="94"/>
  <c r="J60" i="37"/>
  <c r="J524" i="94"/>
  <c r="I60" i="37"/>
  <c r="I524" i="94"/>
  <c r="H60" i="37"/>
  <c r="H524" i="94"/>
  <c r="G60" i="37"/>
  <c r="G524" i="94"/>
  <c r="F60" i="37"/>
  <c r="F524" i="94"/>
  <c r="E60" i="37"/>
  <c r="E524" i="94"/>
  <c r="D60" i="37"/>
  <c r="L59" i="37"/>
  <c r="L511" i="94"/>
  <c r="K59" i="37"/>
  <c r="K511" i="94"/>
  <c r="J59" i="37"/>
  <c r="J511" i="94"/>
  <c r="I59" i="37"/>
  <c r="I511" i="94"/>
  <c r="H59" i="37"/>
  <c r="H511" i="94"/>
  <c r="G59" i="37"/>
  <c r="G511" i="94"/>
  <c r="F59" i="37"/>
  <c r="E59" i="37"/>
  <c r="E511" i="94"/>
  <c r="D59" i="37"/>
  <c r="L58" i="37"/>
  <c r="L498" i="94"/>
  <c r="K58" i="37"/>
  <c r="K498" i="94"/>
  <c r="J58" i="37"/>
  <c r="J498" i="94"/>
  <c r="I58" i="37"/>
  <c r="I498" i="94"/>
  <c r="H58" i="37"/>
  <c r="H498" i="94"/>
  <c r="G58" i="37"/>
  <c r="F58" i="37"/>
  <c r="F498" i="94"/>
  <c r="E58" i="37"/>
  <c r="E498" i="94"/>
  <c r="D58" i="37"/>
  <c r="D498" i="94"/>
  <c r="L57" i="37"/>
  <c r="L485" i="94"/>
  <c r="K57" i="37"/>
  <c r="K485" i="94"/>
  <c r="J57" i="37"/>
  <c r="I57" i="37"/>
  <c r="H57" i="37"/>
  <c r="H485" i="94"/>
  <c r="G57" i="37"/>
  <c r="G485" i="94"/>
  <c r="F57" i="37"/>
  <c r="F485" i="94"/>
  <c r="E57" i="37"/>
  <c r="D57" i="37"/>
  <c r="D485" i="94"/>
  <c r="L56" i="37"/>
  <c r="K56" i="37"/>
  <c r="J56" i="37"/>
  <c r="J472" i="94"/>
  <c r="I56" i="37"/>
  <c r="I472" i="94"/>
  <c r="H56" i="37"/>
  <c r="H472" i="94"/>
  <c r="G56" i="37"/>
  <c r="G472" i="94"/>
  <c r="F56" i="37"/>
  <c r="F472" i="94"/>
  <c r="E56" i="37"/>
  <c r="E472" i="94"/>
  <c r="D56" i="37"/>
  <c r="D472" i="94"/>
  <c r="L53" i="37"/>
  <c r="L457" i="94"/>
  <c r="K53" i="37"/>
  <c r="K457" i="94"/>
  <c r="J53" i="37"/>
  <c r="J457" i="94"/>
  <c r="I53" i="37"/>
  <c r="I457" i="94"/>
  <c r="H53" i="37"/>
  <c r="H457" i="94"/>
  <c r="G53" i="37"/>
  <c r="F53" i="37"/>
  <c r="F457" i="94"/>
  <c r="E53" i="37"/>
  <c r="E457" i="94"/>
  <c r="D53" i="37"/>
  <c r="D457" i="94"/>
  <c r="L50" i="37"/>
  <c r="L442" i="94"/>
  <c r="K50" i="37"/>
  <c r="K442" i="94"/>
  <c r="J50" i="37"/>
  <c r="J442" i="94"/>
  <c r="I50" i="37"/>
  <c r="I442" i="94"/>
  <c r="H50" i="37"/>
  <c r="H442" i="94"/>
  <c r="G50" i="37"/>
  <c r="G442" i="94"/>
  <c r="F50" i="37"/>
  <c r="F442" i="94"/>
  <c r="E50" i="37"/>
  <c r="D50" i="37"/>
  <c r="D442" i="94"/>
  <c r="L47" i="37"/>
  <c r="K47" i="37"/>
  <c r="K427" i="94"/>
  <c r="J47" i="37"/>
  <c r="J427" i="94"/>
  <c r="I47" i="37"/>
  <c r="I427" i="94"/>
  <c r="H47" i="37"/>
  <c r="H427" i="94"/>
  <c r="G47" i="37"/>
  <c r="F47" i="37"/>
  <c r="F427" i="94"/>
  <c r="E47" i="37"/>
  <c r="E427" i="94"/>
  <c r="D47" i="37"/>
  <c r="D427" i="94"/>
  <c r="L41" i="37"/>
  <c r="L385" i="94"/>
  <c r="K41" i="37"/>
  <c r="K385" i="94"/>
  <c r="J41" i="37"/>
  <c r="J385" i="94"/>
  <c r="I41" i="37"/>
  <c r="I385" i="94"/>
  <c r="H41" i="37"/>
  <c r="H385" i="94"/>
  <c r="G41" i="37"/>
  <c r="G385" i="94"/>
  <c r="F41" i="37"/>
  <c r="F385" i="94"/>
  <c r="E41" i="37"/>
  <c r="D41" i="37"/>
  <c r="D385" i="94"/>
  <c r="L40" i="37"/>
  <c r="L372" i="94"/>
  <c r="K40" i="37"/>
  <c r="K372" i="94"/>
  <c r="J40" i="37"/>
  <c r="J372" i="94"/>
  <c r="I40" i="37"/>
  <c r="I372" i="94"/>
  <c r="H40" i="37"/>
  <c r="G40" i="37"/>
  <c r="G372" i="94"/>
  <c r="F40" i="37"/>
  <c r="F372" i="94"/>
  <c r="E40" i="37"/>
  <c r="E372" i="94"/>
  <c r="D40" i="37"/>
  <c r="D372" i="94"/>
  <c r="L39" i="37"/>
  <c r="L359" i="94"/>
  <c r="K39" i="37"/>
  <c r="K359" i="94"/>
  <c r="J39" i="37"/>
  <c r="J359" i="94"/>
  <c r="I39" i="37"/>
  <c r="I359" i="94"/>
  <c r="H39" i="37"/>
  <c r="H359" i="94"/>
  <c r="G39" i="37"/>
  <c r="G359" i="94"/>
  <c r="F39" i="37"/>
  <c r="F359" i="94"/>
  <c r="E39" i="37"/>
  <c r="E359" i="94"/>
  <c r="D39" i="37"/>
  <c r="L38" i="37"/>
  <c r="L346" i="94"/>
  <c r="K38" i="37"/>
  <c r="K346" i="94"/>
  <c r="J38" i="37"/>
  <c r="J346" i="94"/>
  <c r="I38" i="37"/>
  <c r="I346" i="94"/>
  <c r="H38" i="37"/>
  <c r="H346" i="94"/>
  <c r="G38" i="37"/>
  <c r="G346" i="94"/>
  <c r="F38" i="37"/>
  <c r="F346" i="94"/>
  <c r="E38" i="37"/>
  <c r="D38" i="37"/>
  <c r="L37" i="37"/>
  <c r="L333" i="94"/>
  <c r="K37" i="37"/>
  <c r="K333" i="94"/>
  <c r="J37" i="37"/>
  <c r="J333" i="94"/>
  <c r="I37" i="37"/>
  <c r="I333" i="94"/>
  <c r="H37" i="37"/>
  <c r="G37" i="37"/>
  <c r="F37" i="37"/>
  <c r="E37" i="37"/>
  <c r="E333" i="94"/>
  <c r="D37" i="37"/>
  <c r="D333" i="94"/>
  <c r="L36" i="37"/>
  <c r="K36" i="37"/>
  <c r="K320" i="94"/>
  <c r="J36" i="37"/>
  <c r="J320" i="94"/>
  <c r="I36" i="37"/>
  <c r="H36" i="37"/>
  <c r="G36" i="37"/>
  <c r="F36" i="37"/>
  <c r="E36" i="37"/>
  <c r="D36" i="37"/>
  <c r="L35" i="37"/>
  <c r="L307" i="94"/>
  <c r="K35" i="37"/>
  <c r="K307" i="94"/>
  <c r="J35" i="37"/>
  <c r="J307" i="94"/>
  <c r="I35" i="37"/>
  <c r="I307" i="94"/>
  <c r="H35" i="37"/>
  <c r="H307" i="94"/>
  <c r="G35" i="37"/>
  <c r="G307" i="94"/>
  <c r="F35" i="37"/>
  <c r="E35" i="37"/>
  <c r="D35" i="37"/>
  <c r="D307" i="94"/>
  <c r="R34" i="37"/>
  <c r="L114" i="37"/>
  <c r="L34" i="37"/>
  <c r="L294" i="94"/>
  <c r="K34" i="37"/>
  <c r="K294" i="94"/>
  <c r="J34" i="37"/>
  <c r="I34" i="37"/>
  <c r="I294" i="94"/>
  <c r="H34" i="37"/>
  <c r="H294" i="94"/>
  <c r="G34" i="37"/>
  <c r="G294" i="94"/>
  <c r="F34" i="37"/>
  <c r="F294" i="94"/>
  <c r="E34" i="37"/>
  <c r="E294" i="94"/>
  <c r="D34" i="37"/>
  <c r="D294" i="94"/>
  <c r="L33" i="37"/>
  <c r="K33" i="37"/>
  <c r="J33" i="37"/>
  <c r="J281" i="94"/>
  <c r="I33" i="37"/>
  <c r="I281" i="94"/>
  <c r="H33" i="37"/>
  <c r="H281" i="94"/>
  <c r="G33" i="37"/>
  <c r="G281" i="94"/>
  <c r="F33" i="37"/>
  <c r="F281" i="94"/>
  <c r="E33" i="37"/>
  <c r="E281" i="94"/>
  <c r="D33" i="37"/>
  <c r="D281" i="94"/>
  <c r="Q32" i="37"/>
  <c r="L113" i="37"/>
  <c r="L32" i="37"/>
  <c r="L268" i="94"/>
  <c r="K32" i="37"/>
  <c r="K268" i="94"/>
  <c r="J32" i="37"/>
  <c r="J268" i="94"/>
  <c r="I32" i="37"/>
  <c r="I268" i="94"/>
  <c r="H32" i="37"/>
  <c r="H268" i="94"/>
  <c r="G32" i="37"/>
  <c r="G268" i="94"/>
  <c r="F32" i="37"/>
  <c r="F268" i="94"/>
  <c r="E32" i="37"/>
  <c r="D32" i="37"/>
  <c r="D268" i="94"/>
  <c r="L28" i="37"/>
  <c r="L228" i="94"/>
  <c r="K28" i="37"/>
  <c r="K228" i="94"/>
  <c r="J28" i="37"/>
  <c r="J228" i="94"/>
  <c r="I28" i="37"/>
  <c r="I228" i="94"/>
  <c r="H28" i="37"/>
  <c r="G28" i="37"/>
  <c r="G228" i="94"/>
  <c r="F28" i="37"/>
  <c r="F228" i="94"/>
  <c r="E28" i="37"/>
  <c r="E228" i="94"/>
  <c r="D28" i="37"/>
  <c r="D228" i="94"/>
  <c r="L27" i="37"/>
  <c r="L215" i="94"/>
  <c r="K27" i="37"/>
  <c r="K215" i="94"/>
  <c r="J27" i="37"/>
  <c r="J215" i="94"/>
  <c r="I27" i="37"/>
  <c r="H27" i="37"/>
  <c r="H215" i="94"/>
  <c r="G27" i="37"/>
  <c r="G215" i="94"/>
  <c r="F27" i="37"/>
  <c r="F215" i="94"/>
  <c r="E27" i="37"/>
  <c r="E215" i="94"/>
  <c r="D27" i="37"/>
  <c r="D215" i="94"/>
  <c r="L26" i="37"/>
  <c r="L202" i="94"/>
  <c r="K26" i="37"/>
  <c r="J26" i="37"/>
  <c r="J202" i="94"/>
  <c r="I26" i="37"/>
  <c r="I202" i="94"/>
  <c r="H26" i="37"/>
  <c r="H202" i="94"/>
  <c r="G26" i="37"/>
  <c r="G202" i="94"/>
  <c r="F26" i="37"/>
  <c r="F202" i="94"/>
  <c r="E26" i="37"/>
  <c r="E202" i="94"/>
  <c r="L25" i="37"/>
  <c r="L189" i="94"/>
  <c r="K25" i="37"/>
  <c r="K189" i="94"/>
  <c r="J25" i="37"/>
  <c r="J189" i="94"/>
  <c r="I25" i="37"/>
  <c r="I189" i="94"/>
  <c r="H25" i="37"/>
  <c r="H189" i="94"/>
  <c r="G25" i="37"/>
  <c r="G189" i="94"/>
  <c r="F25" i="37"/>
  <c r="F189" i="94"/>
  <c r="E25" i="37"/>
  <c r="E189" i="94"/>
  <c r="D25" i="37"/>
  <c r="L24" i="37"/>
  <c r="L176" i="94"/>
  <c r="K24" i="37"/>
  <c r="K176" i="94"/>
  <c r="J24" i="37"/>
  <c r="J176" i="94"/>
  <c r="I24" i="37"/>
  <c r="I176" i="94"/>
  <c r="H24" i="37"/>
  <c r="G24" i="37"/>
  <c r="G176" i="94"/>
  <c r="F24" i="37"/>
  <c r="F176" i="94"/>
  <c r="E24" i="37"/>
  <c r="D24" i="37"/>
  <c r="D176" i="94"/>
  <c r="L23" i="37"/>
  <c r="L163" i="94"/>
  <c r="K23" i="37"/>
  <c r="J23" i="37"/>
  <c r="I23" i="37"/>
  <c r="I163" i="94"/>
  <c r="H23" i="37"/>
  <c r="H163" i="94"/>
  <c r="G23" i="37"/>
  <c r="F23" i="37"/>
  <c r="E23" i="37"/>
  <c r="E163" i="94"/>
  <c r="D23" i="37"/>
  <c r="L22" i="37"/>
  <c r="L150" i="94"/>
  <c r="K22" i="37"/>
  <c r="K150" i="94"/>
  <c r="J22" i="37"/>
  <c r="J150" i="94"/>
  <c r="I22" i="37"/>
  <c r="I150" i="94"/>
  <c r="H22" i="37"/>
  <c r="G22" i="37"/>
  <c r="F22" i="37"/>
  <c r="F150" i="94"/>
  <c r="E22" i="37"/>
  <c r="E150" i="94"/>
  <c r="D22" i="37"/>
  <c r="D150" i="94"/>
  <c r="L21" i="37"/>
  <c r="L137" i="94"/>
  <c r="K21" i="37"/>
  <c r="K137" i="94"/>
  <c r="J21" i="37"/>
  <c r="J137" i="94"/>
  <c r="I21" i="37"/>
  <c r="H21" i="37"/>
  <c r="H137" i="94"/>
  <c r="G21" i="37"/>
  <c r="G137" i="94"/>
  <c r="F21" i="37"/>
  <c r="F137" i="94"/>
  <c r="E21" i="37"/>
  <c r="E137" i="94"/>
  <c r="D21" i="37"/>
  <c r="L20" i="37"/>
  <c r="I20" i="37"/>
  <c r="I124" i="94"/>
  <c r="H20" i="37"/>
  <c r="H124" i="94"/>
  <c r="G20" i="37"/>
  <c r="G124" i="94"/>
  <c r="F20" i="37"/>
  <c r="F124" i="94"/>
  <c r="E20" i="37"/>
  <c r="E124" i="94"/>
  <c r="D20" i="37"/>
  <c r="D124" i="94"/>
  <c r="J19" i="37"/>
  <c r="H19" i="37"/>
  <c r="H111" i="94"/>
  <c r="G19" i="37"/>
  <c r="G111" i="94"/>
  <c r="F19" i="37"/>
  <c r="E19" i="37"/>
  <c r="E111" i="94"/>
  <c r="D19" i="37"/>
  <c r="D111" i="94"/>
  <c r="L14" i="37"/>
  <c r="K14" i="37"/>
  <c r="K70" i="94"/>
  <c r="J14" i="37"/>
  <c r="J70" i="94"/>
  <c r="I14" i="37"/>
  <c r="H14" i="37"/>
  <c r="H70" i="94"/>
  <c r="G14" i="37"/>
  <c r="G70" i="94"/>
  <c r="F14" i="37"/>
  <c r="F70" i="94"/>
  <c r="E14" i="37"/>
  <c r="D14" i="37"/>
  <c r="D70" i="94"/>
  <c r="L13" i="37"/>
  <c r="L57" i="94"/>
  <c r="K13" i="37"/>
  <c r="J13" i="37"/>
  <c r="J57" i="94"/>
  <c r="I13" i="37"/>
  <c r="I57" i="94"/>
  <c r="H13" i="37"/>
  <c r="H57" i="94"/>
  <c r="G13" i="37"/>
  <c r="G57" i="94"/>
  <c r="F13" i="37"/>
  <c r="F57" i="94"/>
  <c r="E13" i="37"/>
  <c r="E57" i="94"/>
  <c r="D13" i="37"/>
  <c r="D57" i="94"/>
  <c r="D44" i="94"/>
  <c r="L11" i="37"/>
  <c r="L31" i="94"/>
  <c r="K11" i="37"/>
  <c r="K31" i="94"/>
  <c r="J11" i="37"/>
  <c r="J31" i="94"/>
  <c r="I11" i="37"/>
  <c r="I31" i="94"/>
  <c r="H11" i="37"/>
  <c r="H31" i="94"/>
  <c r="G11" i="37"/>
  <c r="G31" i="94"/>
  <c r="F11" i="37"/>
  <c r="F31" i="94"/>
  <c r="E11" i="37"/>
  <c r="D11" i="37"/>
  <c r="D31" i="94"/>
  <c r="L10" i="37"/>
  <c r="L18" i="94"/>
  <c r="K10" i="37"/>
  <c r="K18" i="94"/>
  <c r="J10" i="37"/>
  <c r="J18" i="94"/>
  <c r="I10" i="37"/>
  <c r="I18" i="94"/>
  <c r="H10" i="37"/>
  <c r="H18" i="94"/>
  <c r="G10" i="37"/>
  <c r="G18" i="94"/>
  <c r="F10" i="37"/>
  <c r="D10" i="36"/>
  <c r="E10" i="37"/>
  <c r="D10" i="37"/>
  <c r="D18" i="94"/>
  <c r="R103" i="32"/>
  <c r="P103" i="32"/>
  <c r="L97" i="32"/>
  <c r="L917" i="94"/>
  <c r="K97" i="32"/>
  <c r="K917" i="94"/>
  <c r="J97" i="32"/>
  <c r="J917" i="94"/>
  <c r="I97" i="32"/>
  <c r="I917" i="94"/>
  <c r="H97" i="32"/>
  <c r="H917" i="94"/>
  <c r="G97" i="32"/>
  <c r="F97" i="32"/>
  <c r="F917" i="94"/>
  <c r="E97" i="32"/>
  <c r="E917" i="94"/>
  <c r="D97" i="32"/>
  <c r="D917" i="94"/>
  <c r="L96" i="32"/>
  <c r="L904" i="94"/>
  <c r="K96" i="32"/>
  <c r="K904" i="94"/>
  <c r="J96" i="32"/>
  <c r="J904" i="94"/>
  <c r="I96" i="32"/>
  <c r="I904" i="94"/>
  <c r="H96" i="32"/>
  <c r="H904" i="94"/>
  <c r="G96" i="32"/>
  <c r="G904" i="94"/>
  <c r="F96" i="32"/>
  <c r="F904" i="94"/>
  <c r="E96" i="32"/>
  <c r="D96" i="32"/>
  <c r="D904" i="94"/>
  <c r="L95" i="32"/>
  <c r="L891" i="94"/>
  <c r="K95" i="32"/>
  <c r="K891" i="94"/>
  <c r="J95" i="32"/>
  <c r="J891" i="94"/>
  <c r="I95" i="32"/>
  <c r="I891" i="94"/>
  <c r="H95" i="32"/>
  <c r="H891" i="94"/>
  <c r="G95" i="32"/>
  <c r="F95" i="32"/>
  <c r="F891" i="94"/>
  <c r="E95" i="32"/>
  <c r="E891" i="94"/>
  <c r="D95" i="32"/>
  <c r="D891" i="94"/>
  <c r="L94" i="32"/>
  <c r="L878" i="94"/>
  <c r="K94" i="32"/>
  <c r="K878" i="94"/>
  <c r="J94" i="32"/>
  <c r="J878" i="94"/>
  <c r="I94" i="32"/>
  <c r="I878" i="94"/>
  <c r="H94" i="32"/>
  <c r="H878" i="94"/>
  <c r="G94" i="32"/>
  <c r="G878" i="94"/>
  <c r="F94" i="32"/>
  <c r="F878" i="94"/>
  <c r="E94" i="32"/>
  <c r="D94" i="32"/>
  <c r="D878" i="94"/>
  <c r="L93" i="32"/>
  <c r="L865" i="94"/>
  <c r="K93" i="32"/>
  <c r="K865" i="94"/>
  <c r="J93" i="32"/>
  <c r="J865" i="94"/>
  <c r="I93" i="32"/>
  <c r="I865" i="94"/>
  <c r="H93" i="32"/>
  <c r="H865" i="94"/>
  <c r="G93" i="32"/>
  <c r="G865" i="94"/>
  <c r="F93" i="32"/>
  <c r="E93" i="32"/>
  <c r="E865" i="94"/>
  <c r="D93" i="32"/>
  <c r="D865" i="94"/>
  <c r="L88" i="32"/>
  <c r="L824" i="94"/>
  <c r="K88" i="32"/>
  <c r="K824" i="94"/>
  <c r="J88" i="32"/>
  <c r="I88" i="32"/>
  <c r="I824" i="94"/>
  <c r="H88" i="32"/>
  <c r="G88" i="32"/>
  <c r="G824" i="94"/>
  <c r="F88" i="32"/>
  <c r="F824" i="94"/>
  <c r="E88" i="32"/>
  <c r="E824" i="94"/>
  <c r="D88" i="32"/>
  <c r="D824" i="94"/>
  <c r="S87" i="32"/>
  <c r="L121" i="32"/>
  <c r="L87" i="32"/>
  <c r="L811" i="94"/>
  <c r="K87" i="32"/>
  <c r="J87" i="32"/>
  <c r="J811" i="94"/>
  <c r="I87" i="32"/>
  <c r="H87" i="32"/>
  <c r="H811" i="94"/>
  <c r="G87" i="32"/>
  <c r="G811" i="94"/>
  <c r="F87" i="32"/>
  <c r="F811" i="94"/>
  <c r="E87" i="32"/>
  <c r="D87" i="32"/>
  <c r="D811" i="94"/>
  <c r="S84" i="32"/>
  <c r="L83" i="32"/>
  <c r="L783" i="94"/>
  <c r="K83" i="32"/>
  <c r="K783" i="94"/>
  <c r="J83" i="32"/>
  <c r="J783" i="94"/>
  <c r="I83" i="32"/>
  <c r="I783" i="94"/>
  <c r="H83" i="32"/>
  <c r="H783" i="94"/>
  <c r="G83" i="32"/>
  <c r="G783" i="94"/>
  <c r="F83" i="32"/>
  <c r="D60" i="31"/>
  <c r="E83" i="32"/>
  <c r="E783" i="94"/>
  <c r="D83" i="32"/>
  <c r="L82" i="32"/>
  <c r="K82" i="32"/>
  <c r="J82" i="32"/>
  <c r="J770" i="94"/>
  <c r="I82" i="32"/>
  <c r="I770" i="94"/>
  <c r="H82" i="32"/>
  <c r="G82" i="32"/>
  <c r="F82" i="32"/>
  <c r="F770" i="94"/>
  <c r="E82" i="32"/>
  <c r="E770" i="94"/>
  <c r="D82" i="32"/>
  <c r="L81" i="32"/>
  <c r="L757" i="94"/>
  <c r="K81" i="32"/>
  <c r="K757" i="94"/>
  <c r="J81" i="32"/>
  <c r="J757" i="94"/>
  <c r="I81" i="32"/>
  <c r="H81" i="32"/>
  <c r="H757" i="94"/>
  <c r="G81" i="32"/>
  <c r="G757" i="94"/>
  <c r="F81" i="32"/>
  <c r="D58" i="31"/>
  <c r="E81" i="32"/>
  <c r="E757" i="94"/>
  <c r="D81" i="32"/>
  <c r="D757" i="94"/>
  <c r="L80" i="32"/>
  <c r="L744" i="94"/>
  <c r="K80" i="32"/>
  <c r="K744" i="94"/>
  <c r="J80" i="32"/>
  <c r="I80" i="32"/>
  <c r="I744" i="94"/>
  <c r="H80" i="32"/>
  <c r="H744" i="94"/>
  <c r="G80" i="32"/>
  <c r="G744" i="94"/>
  <c r="F80" i="32"/>
  <c r="F744" i="94"/>
  <c r="E80" i="32"/>
  <c r="D80" i="32"/>
  <c r="D744" i="94"/>
  <c r="S77" i="32"/>
  <c r="S76" i="32"/>
  <c r="L76" i="32"/>
  <c r="L716" i="94"/>
  <c r="K76" i="32"/>
  <c r="K716" i="94"/>
  <c r="J76" i="32"/>
  <c r="J716" i="94"/>
  <c r="I76" i="32"/>
  <c r="I716" i="94"/>
  <c r="H76" i="32"/>
  <c r="H716" i="94"/>
  <c r="G76" i="32"/>
  <c r="G716" i="94"/>
  <c r="F76" i="32"/>
  <c r="F716" i="94"/>
  <c r="E76" i="32"/>
  <c r="E716" i="94"/>
  <c r="D76" i="32"/>
  <c r="L75" i="32"/>
  <c r="L703" i="94"/>
  <c r="K75" i="32"/>
  <c r="K703" i="94"/>
  <c r="J75" i="32"/>
  <c r="J703" i="94"/>
  <c r="I75" i="32"/>
  <c r="I703" i="94"/>
  <c r="H75" i="32"/>
  <c r="H703" i="94"/>
  <c r="G75" i="32"/>
  <c r="G703" i="94"/>
  <c r="F75" i="32"/>
  <c r="F703" i="94"/>
  <c r="E75" i="32"/>
  <c r="D75" i="32"/>
  <c r="D703" i="94"/>
  <c r="X74" i="32"/>
  <c r="P74" i="32"/>
  <c r="L74" i="32"/>
  <c r="L690" i="94"/>
  <c r="K74" i="32"/>
  <c r="K690" i="94"/>
  <c r="J74" i="32"/>
  <c r="J690" i="94"/>
  <c r="I74" i="32"/>
  <c r="H74" i="32"/>
  <c r="H690" i="94"/>
  <c r="G74" i="32"/>
  <c r="F74" i="32"/>
  <c r="E74" i="32"/>
  <c r="E690" i="94"/>
  <c r="D74" i="32"/>
  <c r="D690" i="94"/>
  <c r="X73" i="32"/>
  <c r="R73" i="32"/>
  <c r="Q73" i="32"/>
  <c r="P73" i="32"/>
  <c r="L73" i="32"/>
  <c r="L677" i="94"/>
  <c r="K73" i="32"/>
  <c r="K677" i="94"/>
  <c r="J73" i="32"/>
  <c r="J677" i="94"/>
  <c r="I73" i="32"/>
  <c r="I677" i="94"/>
  <c r="H73" i="32"/>
  <c r="H677" i="94"/>
  <c r="G73" i="32"/>
  <c r="G677" i="94"/>
  <c r="F73" i="32"/>
  <c r="F677" i="94"/>
  <c r="E73" i="32"/>
  <c r="E677" i="94"/>
  <c r="D73" i="32"/>
  <c r="D677" i="94"/>
  <c r="X72" i="32"/>
  <c r="R72" i="32"/>
  <c r="Q72" i="32"/>
  <c r="P72" i="32"/>
  <c r="L72" i="32"/>
  <c r="L664" i="94"/>
  <c r="K72" i="32"/>
  <c r="K664" i="94"/>
  <c r="J72" i="32"/>
  <c r="J664" i="94"/>
  <c r="I72" i="32"/>
  <c r="I664" i="94"/>
  <c r="H72" i="32"/>
  <c r="H664" i="94"/>
  <c r="G72" i="32"/>
  <c r="G664" i="94"/>
  <c r="F72" i="32"/>
  <c r="F664" i="94"/>
  <c r="E72" i="32"/>
  <c r="D72" i="32"/>
  <c r="D664" i="94"/>
  <c r="X71" i="32"/>
  <c r="R71" i="32"/>
  <c r="Q71" i="32"/>
  <c r="P71" i="32"/>
  <c r="L71" i="32"/>
  <c r="L651" i="94"/>
  <c r="K71" i="32"/>
  <c r="K651" i="94"/>
  <c r="J71" i="32"/>
  <c r="J651" i="94"/>
  <c r="I71" i="32"/>
  <c r="I651" i="94"/>
  <c r="H71" i="32"/>
  <c r="G71" i="32"/>
  <c r="G651" i="94"/>
  <c r="F71" i="32"/>
  <c r="F651" i="94"/>
  <c r="E71" i="32"/>
  <c r="E651" i="94"/>
  <c r="D71" i="32"/>
  <c r="X70" i="32"/>
  <c r="R70" i="32"/>
  <c r="Q70" i="32"/>
  <c r="P70" i="32"/>
  <c r="L70" i="32"/>
  <c r="L638" i="94"/>
  <c r="K70" i="32"/>
  <c r="J70" i="32"/>
  <c r="J638" i="94"/>
  <c r="I70" i="32"/>
  <c r="H70" i="32"/>
  <c r="H638" i="94"/>
  <c r="G70" i="32"/>
  <c r="G638" i="94"/>
  <c r="F70" i="32"/>
  <c r="F638" i="94"/>
  <c r="E70" i="32"/>
  <c r="D70" i="32"/>
  <c r="D638" i="94"/>
  <c r="X69" i="32"/>
  <c r="R69" i="32"/>
  <c r="Q69" i="32"/>
  <c r="P69" i="32"/>
  <c r="L69" i="32"/>
  <c r="L625" i="94"/>
  <c r="K69" i="32"/>
  <c r="K625" i="94"/>
  <c r="J69" i="32"/>
  <c r="J625" i="94"/>
  <c r="I69" i="32"/>
  <c r="I625" i="94"/>
  <c r="H69" i="32"/>
  <c r="H625" i="94"/>
  <c r="G69" i="32"/>
  <c r="G625" i="94"/>
  <c r="F69" i="32"/>
  <c r="F625" i="94"/>
  <c r="E69" i="32"/>
  <c r="E625" i="94"/>
  <c r="D69" i="32"/>
  <c r="D625" i="94"/>
  <c r="X68" i="32"/>
  <c r="R68" i="32"/>
  <c r="Q68" i="32"/>
  <c r="P68" i="32"/>
  <c r="E13" i="95"/>
  <c r="L68" i="32"/>
  <c r="L612" i="94"/>
  <c r="K68" i="32"/>
  <c r="K612" i="94"/>
  <c r="J68" i="32"/>
  <c r="I68" i="32"/>
  <c r="I612" i="94"/>
  <c r="H68" i="32"/>
  <c r="G68" i="32"/>
  <c r="F68" i="32"/>
  <c r="E68" i="32"/>
  <c r="E612" i="94"/>
  <c r="D68" i="32"/>
  <c r="D612" i="94"/>
  <c r="X67" i="32"/>
  <c r="R67" i="32"/>
  <c r="Q67" i="32"/>
  <c r="P67" i="32"/>
  <c r="L67" i="32"/>
  <c r="L599" i="94"/>
  <c r="K67" i="32"/>
  <c r="K599" i="94"/>
  <c r="J67" i="32"/>
  <c r="J599" i="94"/>
  <c r="I67" i="32"/>
  <c r="I599" i="94"/>
  <c r="H67" i="32"/>
  <c r="G67" i="32"/>
  <c r="G599" i="94"/>
  <c r="F67" i="32"/>
  <c r="D44" i="31"/>
  <c r="E67" i="32"/>
  <c r="D67" i="32"/>
  <c r="D599" i="94"/>
  <c r="X66" i="32"/>
  <c r="R66" i="32"/>
  <c r="Q66" i="32"/>
  <c r="P66" i="32"/>
  <c r="L66" i="32"/>
  <c r="K66" i="32"/>
  <c r="K586" i="94"/>
  <c r="J66" i="32"/>
  <c r="J586" i="94"/>
  <c r="I66" i="32"/>
  <c r="I586" i="94"/>
  <c r="H66" i="32"/>
  <c r="H586" i="94"/>
  <c r="G66" i="32"/>
  <c r="F66" i="32"/>
  <c r="F586" i="94"/>
  <c r="E66" i="32"/>
  <c r="E586" i="94"/>
  <c r="D66" i="32"/>
  <c r="X65" i="32"/>
  <c r="R65" i="32"/>
  <c r="Q65" i="32"/>
  <c r="P65" i="32"/>
  <c r="L65" i="32"/>
  <c r="K65" i="32"/>
  <c r="K573" i="94"/>
  <c r="J65" i="32"/>
  <c r="J573" i="94"/>
  <c r="I65" i="32"/>
  <c r="H65" i="32"/>
  <c r="H573" i="94"/>
  <c r="G65" i="32"/>
  <c r="G573" i="94"/>
  <c r="F65" i="32"/>
  <c r="E65" i="32"/>
  <c r="E573" i="94"/>
  <c r="D65" i="32"/>
  <c r="L61" i="32"/>
  <c r="L533" i="94"/>
  <c r="K61" i="32"/>
  <c r="K533" i="94"/>
  <c r="J61" i="32"/>
  <c r="J533" i="94"/>
  <c r="I61" i="32"/>
  <c r="I533" i="94"/>
  <c r="H61" i="32"/>
  <c r="H533" i="94"/>
  <c r="G61" i="32"/>
  <c r="G533" i="94"/>
  <c r="F61" i="32"/>
  <c r="F533" i="94"/>
  <c r="E61" i="32"/>
  <c r="E533" i="94"/>
  <c r="D61" i="32"/>
  <c r="L60" i="32"/>
  <c r="L520" i="94"/>
  <c r="K60" i="32"/>
  <c r="K520" i="94"/>
  <c r="J60" i="32"/>
  <c r="J520" i="94"/>
  <c r="I60" i="32"/>
  <c r="I520" i="94"/>
  <c r="H60" i="32"/>
  <c r="H520" i="94"/>
  <c r="G60" i="32"/>
  <c r="G520" i="94"/>
  <c r="F60" i="32"/>
  <c r="D36" i="31"/>
  <c r="E60" i="32"/>
  <c r="E520" i="94"/>
  <c r="D60" i="32"/>
  <c r="D520" i="94"/>
  <c r="L59" i="32"/>
  <c r="L507" i="94"/>
  <c r="K59" i="32"/>
  <c r="K507" i="94"/>
  <c r="J59" i="32"/>
  <c r="I59" i="32"/>
  <c r="I507" i="94"/>
  <c r="H59" i="32"/>
  <c r="G59" i="32"/>
  <c r="G507" i="94"/>
  <c r="F59" i="32"/>
  <c r="D35" i="31"/>
  <c r="E59" i="32"/>
  <c r="E507" i="94"/>
  <c r="D59" i="32"/>
  <c r="D507" i="94"/>
  <c r="L58" i="32"/>
  <c r="L494" i="94"/>
  <c r="K58" i="32"/>
  <c r="J58" i="32"/>
  <c r="J494" i="94"/>
  <c r="I58" i="32"/>
  <c r="I494" i="94"/>
  <c r="H58" i="32"/>
  <c r="H494" i="94"/>
  <c r="G58" i="32"/>
  <c r="G494" i="94"/>
  <c r="F58" i="32"/>
  <c r="E58" i="32"/>
  <c r="D58" i="32"/>
  <c r="L57" i="32"/>
  <c r="K57" i="32"/>
  <c r="K481" i="94"/>
  <c r="J57" i="32"/>
  <c r="J481" i="94"/>
  <c r="I57" i="32"/>
  <c r="I481" i="94"/>
  <c r="H57" i="32"/>
  <c r="H481" i="94"/>
  <c r="G57" i="32"/>
  <c r="F57" i="32"/>
  <c r="E57" i="32"/>
  <c r="E481" i="94"/>
  <c r="D57" i="32"/>
  <c r="D481" i="94"/>
  <c r="L56" i="32"/>
  <c r="L468" i="94"/>
  <c r="K56" i="32"/>
  <c r="K468" i="94"/>
  <c r="J56" i="32"/>
  <c r="J468" i="94"/>
  <c r="I56" i="32"/>
  <c r="I468" i="94"/>
  <c r="H56" i="32"/>
  <c r="H468" i="94"/>
  <c r="G56" i="32"/>
  <c r="G468" i="94"/>
  <c r="F56" i="32"/>
  <c r="F468" i="94"/>
  <c r="E56" i="32"/>
  <c r="E468" i="94"/>
  <c r="D56" i="32"/>
  <c r="L53" i="32"/>
  <c r="L453" i="94"/>
  <c r="K53" i="32"/>
  <c r="K453" i="94"/>
  <c r="J53" i="32"/>
  <c r="J453" i="94"/>
  <c r="I53" i="32"/>
  <c r="I453" i="94"/>
  <c r="H53" i="32"/>
  <c r="H453" i="94"/>
  <c r="G53" i="32"/>
  <c r="G453" i="94"/>
  <c r="F53" i="32"/>
  <c r="F453" i="94"/>
  <c r="E53" i="32"/>
  <c r="D53" i="32"/>
  <c r="D453" i="94"/>
  <c r="L50" i="32"/>
  <c r="L438" i="94"/>
  <c r="K50" i="32"/>
  <c r="K438" i="94"/>
  <c r="J50" i="32"/>
  <c r="J438" i="94"/>
  <c r="I50" i="32"/>
  <c r="H50" i="32"/>
  <c r="H438" i="94"/>
  <c r="G50" i="32"/>
  <c r="F50" i="32"/>
  <c r="E50" i="32"/>
  <c r="E438" i="94"/>
  <c r="D50" i="32"/>
  <c r="D438" i="94"/>
  <c r="L47" i="32"/>
  <c r="K47" i="32"/>
  <c r="K423" i="94"/>
  <c r="J47" i="32"/>
  <c r="J423" i="94"/>
  <c r="I47" i="32"/>
  <c r="I423" i="94"/>
  <c r="H47" i="32"/>
  <c r="H423" i="94"/>
  <c r="G47" i="32"/>
  <c r="G423" i="94"/>
  <c r="F47" i="32"/>
  <c r="F423" i="94"/>
  <c r="E47" i="32"/>
  <c r="E423" i="94"/>
  <c r="D47" i="32"/>
  <c r="L41" i="32"/>
  <c r="L381" i="94"/>
  <c r="K41" i="32"/>
  <c r="K381" i="94"/>
  <c r="J41" i="32"/>
  <c r="J381" i="94"/>
  <c r="I41" i="32"/>
  <c r="I381" i="94"/>
  <c r="H41" i="32"/>
  <c r="H381" i="94"/>
  <c r="G41" i="32"/>
  <c r="G381" i="94"/>
  <c r="F41" i="32"/>
  <c r="F381" i="94"/>
  <c r="E41" i="32"/>
  <c r="D41" i="32"/>
  <c r="D381" i="94"/>
  <c r="L40" i="32"/>
  <c r="L368" i="94"/>
  <c r="K40" i="32"/>
  <c r="K368" i="94"/>
  <c r="J40" i="32"/>
  <c r="J368" i="94"/>
  <c r="I40" i="32"/>
  <c r="I368" i="94"/>
  <c r="H40" i="32"/>
  <c r="H368" i="94"/>
  <c r="G40" i="32"/>
  <c r="G368" i="94"/>
  <c r="F40" i="32"/>
  <c r="F368" i="94"/>
  <c r="E40" i="32"/>
  <c r="E368" i="94"/>
  <c r="D40" i="32"/>
  <c r="D368" i="94"/>
  <c r="L39" i="32"/>
  <c r="L355" i="94"/>
  <c r="K39" i="32"/>
  <c r="J39" i="32"/>
  <c r="J355" i="94"/>
  <c r="I39" i="32"/>
  <c r="I355" i="94"/>
  <c r="H39" i="32"/>
  <c r="H355" i="94"/>
  <c r="G39" i="32"/>
  <c r="F39" i="32"/>
  <c r="F355" i="94"/>
  <c r="E39" i="32"/>
  <c r="E355" i="94"/>
  <c r="D39" i="32"/>
  <c r="D355" i="94"/>
  <c r="L38" i="32"/>
  <c r="L342" i="94"/>
  <c r="K38" i="32"/>
  <c r="K342" i="94"/>
  <c r="J38" i="32"/>
  <c r="J342" i="94"/>
  <c r="I38" i="32"/>
  <c r="H38" i="32"/>
  <c r="G38" i="32"/>
  <c r="G342" i="94"/>
  <c r="F38" i="32"/>
  <c r="F342" i="94"/>
  <c r="E38" i="32"/>
  <c r="E342" i="94"/>
  <c r="D38" i="32"/>
  <c r="L37" i="32"/>
  <c r="L329" i="94"/>
  <c r="K37" i="32"/>
  <c r="K329" i="94"/>
  <c r="J37" i="32"/>
  <c r="J329" i="94"/>
  <c r="I37" i="32"/>
  <c r="H37" i="32"/>
  <c r="H329" i="94"/>
  <c r="G37" i="32"/>
  <c r="G329" i="94"/>
  <c r="F37" i="32"/>
  <c r="F329" i="94"/>
  <c r="E37" i="32"/>
  <c r="D37" i="32"/>
  <c r="D329" i="94"/>
  <c r="L36" i="32"/>
  <c r="L316" i="94"/>
  <c r="K36" i="32"/>
  <c r="K316" i="94"/>
  <c r="J36" i="32"/>
  <c r="I36" i="32"/>
  <c r="I316" i="94"/>
  <c r="H36" i="32"/>
  <c r="H316" i="94"/>
  <c r="G36" i="32"/>
  <c r="G316" i="94"/>
  <c r="F36" i="32"/>
  <c r="F316" i="94"/>
  <c r="E36" i="32"/>
  <c r="E316" i="94"/>
  <c r="D36" i="32"/>
  <c r="D316" i="94"/>
  <c r="L35" i="32"/>
  <c r="L303" i="94"/>
  <c r="K35" i="32"/>
  <c r="J35" i="32"/>
  <c r="J303" i="94"/>
  <c r="I35" i="32"/>
  <c r="I303" i="94"/>
  <c r="H35" i="32"/>
  <c r="H303" i="94"/>
  <c r="G35" i="32"/>
  <c r="F35" i="32"/>
  <c r="F303" i="94"/>
  <c r="E35" i="32"/>
  <c r="E303" i="94"/>
  <c r="D35" i="32"/>
  <c r="D303" i="94"/>
  <c r="R34" i="32"/>
  <c r="L114" i="32"/>
  <c r="L34" i="32"/>
  <c r="L290" i="94"/>
  <c r="K34" i="32"/>
  <c r="K290" i="94"/>
  <c r="J34" i="32"/>
  <c r="J290" i="94"/>
  <c r="I34" i="32"/>
  <c r="H34" i="32"/>
  <c r="H290" i="94"/>
  <c r="G34" i="32"/>
  <c r="G290" i="94"/>
  <c r="F34" i="32"/>
  <c r="F290" i="94"/>
  <c r="E34" i="32"/>
  <c r="D34" i="32"/>
  <c r="D290" i="94"/>
  <c r="L33" i="32"/>
  <c r="L277" i="94"/>
  <c r="K33" i="32"/>
  <c r="K277" i="94"/>
  <c r="J33" i="32"/>
  <c r="J277" i="94"/>
  <c r="I33" i="32"/>
  <c r="I277" i="94"/>
  <c r="H33" i="32"/>
  <c r="H277" i="94"/>
  <c r="G33" i="32"/>
  <c r="F33" i="32"/>
  <c r="E33" i="32"/>
  <c r="E277" i="94"/>
  <c r="D33" i="32"/>
  <c r="D277" i="94"/>
  <c r="Q32" i="32"/>
  <c r="L113" i="32"/>
  <c r="L32" i="32"/>
  <c r="K32" i="32"/>
  <c r="K264" i="94"/>
  <c r="J32" i="32"/>
  <c r="J264" i="94"/>
  <c r="I32" i="32"/>
  <c r="I264" i="94"/>
  <c r="H32" i="32"/>
  <c r="G32" i="32"/>
  <c r="G264" i="94"/>
  <c r="F32" i="32"/>
  <c r="F264" i="94"/>
  <c r="E32" i="32"/>
  <c r="E264" i="94"/>
  <c r="D32" i="32"/>
  <c r="L28" i="32"/>
  <c r="L224" i="94"/>
  <c r="K28" i="32"/>
  <c r="K224" i="94"/>
  <c r="J28" i="32"/>
  <c r="J224" i="94"/>
  <c r="I28" i="32"/>
  <c r="I224" i="94"/>
  <c r="H28" i="32"/>
  <c r="H224" i="94"/>
  <c r="G28" i="32"/>
  <c r="G224" i="94"/>
  <c r="F28" i="32"/>
  <c r="F224" i="94"/>
  <c r="E28" i="32"/>
  <c r="D28" i="32"/>
  <c r="D224" i="94"/>
  <c r="L27" i="32"/>
  <c r="L211" i="94"/>
  <c r="K27" i="32"/>
  <c r="K211" i="94"/>
  <c r="J27" i="32"/>
  <c r="I27" i="32"/>
  <c r="I211" i="94"/>
  <c r="H27" i="32"/>
  <c r="H211" i="94"/>
  <c r="G27" i="32"/>
  <c r="G211" i="94"/>
  <c r="F27" i="32"/>
  <c r="E27" i="32"/>
  <c r="E211" i="94"/>
  <c r="D27" i="32"/>
  <c r="D211" i="94"/>
  <c r="L26" i="32"/>
  <c r="L198" i="94"/>
  <c r="K26" i="32"/>
  <c r="J26" i="32"/>
  <c r="J198" i="94"/>
  <c r="I26" i="32"/>
  <c r="I198" i="94"/>
  <c r="H26" i="32"/>
  <c r="H198" i="94"/>
  <c r="G26" i="32"/>
  <c r="G198" i="94"/>
  <c r="F26" i="32"/>
  <c r="F198" i="94"/>
  <c r="E26" i="32"/>
  <c r="E198" i="94"/>
  <c r="L25" i="32"/>
  <c r="L185" i="94"/>
  <c r="K25" i="32"/>
  <c r="J25" i="32"/>
  <c r="J185" i="94"/>
  <c r="I25" i="32"/>
  <c r="I185" i="94"/>
  <c r="H25" i="32"/>
  <c r="H185" i="94"/>
  <c r="G25" i="32"/>
  <c r="G185" i="94"/>
  <c r="F25" i="32"/>
  <c r="F185" i="94"/>
  <c r="E25" i="32"/>
  <c r="E185" i="94"/>
  <c r="D25" i="32"/>
  <c r="D185" i="94"/>
  <c r="L24" i="32"/>
  <c r="L172" i="94"/>
  <c r="K24" i="32"/>
  <c r="K172" i="94"/>
  <c r="J24" i="32"/>
  <c r="J172" i="94"/>
  <c r="I24" i="32"/>
  <c r="I172" i="94"/>
  <c r="H24" i="32"/>
  <c r="H172" i="94"/>
  <c r="G24" i="32"/>
  <c r="G172" i="94"/>
  <c r="F24" i="32"/>
  <c r="F172" i="94"/>
  <c r="E24" i="32"/>
  <c r="E172" i="94"/>
  <c r="D24" i="32"/>
  <c r="L23" i="32"/>
  <c r="L159" i="94"/>
  <c r="K23" i="32"/>
  <c r="K159" i="94"/>
  <c r="J23" i="32"/>
  <c r="J159" i="94"/>
  <c r="I23" i="32"/>
  <c r="H23" i="32"/>
  <c r="H159" i="94"/>
  <c r="G23" i="32"/>
  <c r="F23" i="32"/>
  <c r="F159" i="94"/>
  <c r="E23" i="32"/>
  <c r="D23" i="32"/>
  <c r="D159" i="94"/>
  <c r="L22" i="32"/>
  <c r="L146" i="94"/>
  <c r="K22" i="32"/>
  <c r="K146" i="94"/>
  <c r="J22" i="32"/>
  <c r="J146" i="94"/>
  <c r="I22" i="32"/>
  <c r="I146" i="94"/>
  <c r="H22" i="32"/>
  <c r="H146" i="94"/>
  <c r="G22" i="32"/>
  <c r="G146" i="94"/>
  <c r="F22" i="32"/>
  <c r="E22" i="32"/>
  <c r="E146" i="94"/>
  <c r="D22" i="32"/>
  <c r="D146" i="94"/>
  <c r="L21" i="32"/>
  <c r="L133" i="94"/>
  <c r="K21" i="32"/>
  <c r="K133" i="94"/>
  <c r="J21" i="32"/>
  <c r="J133" i="94"/>
  <c r="I21" i="32"/>
  <c r="I133" i="94"/>
  <c r="H21" i="32"/>
  <c r="H133" i="94"/>
  <c r="G21" i="32"/>
  <c r="F21" i="32"/>
  <c r="F133" i="94"/>
  <c r="E21" i="32"/>
  <c r="E133" i="94"/>
  <c r="D21" i="32"/>
  <c r="D133" i="94"/>
  <c r="L20" i="32"/>
  <c r="L120" i="94"/>
  <c r="I20" i="32"/>
  <c r="I120" i="94"/>
  <c r="H20" i="32"/>
  <c r="H120" i="94"/>
  <c r="G20" i="32"/>
  <c r="G120" i="94"/>
  <c r="F20" i="32"/>
  <c r="E20" i="32"/>
  <c r="E120" i="94"/>
  <c r="D20" i="32"/>
  <c r="D120" i="94"/>
  <c r="J19" i="32"/>
  <c r="J107" i="94"/>
  <c r="H19" i="32"/>
  <c r="H107" i="94"/>
  <c r="G19" i="32"/>
  <c r="G107" i="94"/>
  <c r="F19" i="32"/>
  <c r="F107" i="94"/>
  <c r="E19" i="32"/>
  <c r="E107" i="94"/>
  <c r="D19" i="32"/>
  <c r="L14" i="32"/>
  <c r="L66" i="94"/>
  <c r="K14" i="32"/>
  <c r="K66" i="94"/>
  <c r="J14" i="32"/>
  <c r="J66" i="94"/>
  <c r="I14" i="32"/>
  <c r="I66" i="94"/>
  <c r="H14" i="32"/>
  <c r="H66" i="94"/>
  <c r="G14" i="32"/>
  <c r="G66" i="94"/>
  <c r="F14" i="32"/>
  <c r="E14" i="32"/>
  <c r="D14" i="32"/>
  <c r="D66" i="94"/>
  <c r="L13" i="32"/>
  <c r="L53" i="94"/>
  <c r="K13" i="32"/>
  <c r="J13" i="32"/>
  <c r="I13" i="32"/>
  <c r="I53" i="94"/>
  <c r="H13" i="32"/>
  <c r="H53" i="94"/>
  <c r="G13" i="32"/>
  <c r="G53" i="94"/>
  <c r="F13" i="32"/>
  <c r="D13" i="31"/>
  <c r="E13" i="32"/>
  <c r="E53" i="94"/>
  <c r="D13" i="32"/>
  <c r="D53" i="94"/>
  <c r="D40" i="94"/>
  <c r="L11" i="32"/>
  <c r="L27" i="94"/>
  <c r="K11" i="32"/>
  <c r="K27" i="94"/>
  <c r="J11" i="32"/>
  <c r="I11" i="32"/>
  <c r="I27" i="94"/>
  <c r="H11" i="32"/>
  <c r="G11" i="32"/>
  <c r="G27" i="94"/>
  <c r="F11" i="32"/>
  <c r="E11" i="32"/>
  <c r="E27" i="94"/>
  <c r="D11" i="32"/>
  <c r="D27" i="94"/>
  <c r="L10" i="32"/>
  <c r="L14" i="94"/>
  <c r="K10" i="32"/>
  <c r="K14" i="94"/>
  <c r="J10" i="32"/>
  <c r="J14" i="94"/>
  <c r="I10" i="32"/>
  <c r="I14" i="94"/>
  <c r="H10" i="32"/>
  <c r="H14" i="94"/>
  <c r="G10" i="32"/>
  <c r="F10" i="32"/>
  <c r="E10" i="32"/>
  <c r="E14" i="94"/>
  <c r="D10" i="32"/>
  <c r="D14" i="94"/>
  <c r="R103" i="27"/>
  <c r="Z14" i="97"/>
  <c r="P103" i="27"/>
  <c r="Y14" i="97"/>
  <c r="L97" i="27"/>
  <c r="L915" i="94"/>
  <c r="K97" i="27"/>
  <c r="K915" i="94"/>
  <c r="J97" i="27"/>
  <c r="I97" i="27"/>
  <c r="I915" i="94"/>
  <c r="H97" i="27"/>
  <c r="H915" i="94"/>
  <c r="G97" i="27"/>
  <c r="F97" i="27"/>
  <c r="F915" i="94"/>
  <c r="E97" i="27"/>
  <c r="E915" i="94"/>
  <c r="D97" i="27"/>
  <c r="D915" i="94"/>
  <c r="L96" i="27"/>
  <c r="L902" i="94"/>
  <c r="K96" i="27"/>
  <c r="K902" i="94"/>
  <c r="J96" i="27"/>
  <c r="J902" i="94"/>
  <c r="I96" i="27"/>
  <c r="I902" i="94"/>
  <c r="H96" i="27"/>
  <c r="H902" i="94"/>
  <c r="G96" i="27"/>
  <c r="G902" i="94"/>
  <c r="F96" i="27"/>
  <c r="F902" i="94"/>
  <c r="E96" i="27"/>
  <c r="E902" i="94"/>
  <c r="D96" i="27"/>
  <c r="L95" i="27"/>
  <c r="L889" i="94"/>
  <c r="K95" i="27"/>
  <c r="K889" i="94"/>
  <c r="J95" i="27"/>
  <c r="J889" i="94"/>
  <c r="I95" i="27"/>
  <c r="I889" i="94"/>
  <c r="H95" i="27"/>
  <c r="H889" i="94"/>
  <c r="G95" i="27"/>
  <c r="G889" i="94"/>
  <c r="F95" i="27"/>
  <c r="F889" i="94"/>
  <c r="E95" i="27"/>
  <c r="E889" i="94"/>
  <c r="D95" i="27"/>
  <c r="D889" i="94"/>
  <c r="L94" i="27"/>
  <c r="L876" i="94"/>
  <c r="K94" i="27"/>
  <c r="K876" i="94"/>
  <c r="J94" i="27"/>
  <c r="J876" i="94"/>
  <c r="I94" i="27"/>
  <c r="I876" i="94"/>
  <c r="H94" i="27"/>
  <c r="H876" i="94"/>
  <c r="G94" i="27"/>
  <c r="G876" i="94"/>
  <c r="F94" i="27"/>
  <c r="F876" i="94"/>
  <c r="E94" i="27"/>
  <c r="E876" i="94"/>
  <c r="D94" i="27"/>
  <c r="L93" i="27"/>
  <c r="L863" i="94"/>
  <c r="K93" i="27"/>
  <c r="K863" i="94"/>
  <c r="J93" i="27"/>
  <c r="J863" i="94"/>
  <c r="I93" i="27"/>
  <c r="I863" i="94"/>
  <c r="H93" i="27"/>
  <c r="H863" i="94"/>
  <c r="G93" i="27"/>
  <c r="G863" i="94"/>
  <c r="F93" i="27"/>
  <c r="F863" i="94"/>
  <c r="E93" i="27"/>
  <c r="D93" i="27"/>
  <c r="D863" i="94"/>
  <c r="L88" i="27"/>
  <c r="L822" i="94"/>
  <c r="K88" i="27"/>
  <c r="K822" i="94"/>
  <c r="J88" i="27"/>
  <c r="J822" i="94"/>
  <c r="I88" i="27"/>
  <c r="I822" i="94"/>
  <c r="H88" i="27"/>
  <c r="H822" i="94"/>
  <c r="G88" i="27"/>
  <c r="F88" i="27"/>
  <c r="F822" i="94"/>
  <c r="E88" i="27"/>
  <c r="D88" i="27"/>
  <c r="S87" i="27"/>
  <c r="L87" i="27"/>
  <c r="K87" i="27"/>
  <c r="K809" i="94"/>
  <c r="J87" i="27"/>
  <c r="J809" i="94"/>
  <c r="I87" i="27"/>
  <c r="I809" i="94"/>
  <c r="H87" i="27"/>
  <c r="G87" i="27"/>
  <c r="G809" i="94"/>
  <c r="F87" i="27"/>
  <c r="E87" i="27"/>
  <c r="E809" i="94"/>
  <c r="D87" i="27"/>
  <c r="D809" i="94"/>
  <c r="S84" i="27"/>
  <c r="L120" i="27"/>
  <c r="L83" i="27"/>
  <c r="L781" i="94"/>
  <c r="K83" i="27"/>
  <c r="K781" i="94"/>
  <c r="J83" i="27"/>
  <c r="J781" i="94"/>
  <c r="I83" i="27"/>
  <c r="I781" i="94"/>
  <c r="H83" i="27"/>
  <c r="H781" i="94"/>
  <c r="G83" i="27"/>
  <c r="G781" i="94"/>
  <c r="F83" i="27"/>
  <c r="F781" i="94"/>
  <c r="E83" i="27"/>
  <c r="E781" i="94"/>
  <c r="D83" i="27"/>
  <c r="L82" i="27"/>
  <c r="L768" i="94"/>
  <c r="K82" i="27"/>
  <c r="K768" i="94"/>
  <c r="J82" i="27"/>
  <c r="J768" i="94"/>
  <c r="I82" i="27"/>
  <c r="I768" i="94"/>
  <c r="H82" i="27"/>
  <c r="H768" i="94"/>
  <c r="G82" i="27"/>
  <c r="G768" i="94"/>
  <c r="F82" i="27"/>
  <c r="E82" i="27"/>
  <c r="D82" i="27"/>
  <c r="L81" i="27"/>
  <c r="L755" i="94"/>
  <c r="K81" i="27"/>
  <c r="K755" i="94"/>
  <c r="J81" i="27"/>
  <c r="J755" i="94"/>
  <c r="I81" i="27"/>
  <c r="I755" i="94"/>
  <c r="H81" i="27"/>
  <c r="H755" i="94"/>
  <c r="G81" i="27"/>
  <c r="F81" i="27"/>
  <c r="F755" i="94"/>
  <c r="E81" i="27"/>
  <c r="E755" i="94"/>
  <c r="D81" i="27"/>
  <c r="L80" i="27"/>
  <c r="L742" i="94"/>
  <c r="K80" i="27"/>
  <c r="J80" i="27"/>
  <c r="J742" i="94"/>
  <c r="I80" i="27"/>
  <c r="H80" i="27"/>
  <c r="G80" i="27"/>
  <c r="G742" i="94"/>
  <c r="F80" i="27"/>
  <c r="E80" i="27"/>
  <c r="E742" i="94"/>
  <c r="D80" i="27"/>
  <c r="D742" i="94"/>
  <c r="S77" i="27"/>
  <c r="S76" i="27"/>
  <c r="L116" i="27"/>
  <c r="L76" i="27"/>
  <c r="L714" i="94"/>
  <c r="K76" i="27"/>
  <c r="K714" i="94"/>
  <c r="J76" i="27"/>
  <c r="J714" i="94"/>
  <c r="I76" i="27"/>
  <c r="I714" i="94"/>
  <c r="H76" i="27"/>
  <c r="G76" i="27"/>
  <c r="G714" i="94"/>
  <c r="F76" i="27"/>
  <c r="F714" i="94"/>
  <c r="E76" i="27"/>
  <c r="E714" i="94"/>
  <c r="D76" i="27"/>
  <c r="D714" i="94"/>
  <c r="L75" i="27"/>
  <c r="K75" i="27"/>
  <c r="K701" i="94"/>
  <c r="J75" i="27"/>
  <c r="J701" i="94"/>
  <c r="I75" i="27"/>
  <c r="I701" i="94"/>
  <c r="H75" i="27"/>
  <c r="H701" i="94"/>
  <c r="G75" i="27"/>
  <c r="G701" i="94"/>
  <c r="F75" i="27"/>
  <c r="F701" i="94"/>
  <c r="E75" i="27"/>
  <c r="D75" i="27"/>
  <c r="X74" i="27"/>
  <c r="P74" i="27"/>
  <c r="L74" i="27"/>
  <c r="L688" i="94"/>
  <c r="K74" i="27"/>
  <c r="J74" i="27"/>
  <c r="I74" i="27"/>
  <c r="I688" i="94"/>
  <c r="H74" i="27"/>
  <c r="G74" i="27"/>
  <c r="G688" i="94"/>
  <c r="F74" i="27"/>
  <c r="F688" i="94"/>
  <c r="E74" i="27"/>
  <c r="E688" i="94"/>
  <c r="D74" i="27"/>
  <c r="D688" i="94"/>
  <c r="X73" i="27"/>
  <c r="R73" i="27"/>
  <c r="Q73" i="27"/>
  <c r="P73" i="27"/>
  <c r="L73" i="27"/>
  <c r="L675" i="94"/>
  <c r="K73" i="27"/>
  <c r="K675" i="94"/>
  <c r="J73" i="27"/>
  <c r="J675" i="94"/>
  <c r="I73" i="27"/>
  <c r="H73" i="27"/>
  <c r="H675" i="94"/>
  <c r="G73" i="27"/>
  <c r="F73" i="27"/>
  <c r="F675" i="94"/>
  <c r="E73" i="27"/>
  <c r="E675" i="94"/>
  <c r="D73" i="27"/>
  <c r="D675" i="94"/>
  <c r="X72" i="27"/>
  <c r="R72" i="27"/>
  <c r="Q72" i="27"/>
  <c r="P72" i="27"/>
  <c r="L72" i="27"/>
  <c r="L662" i="94"/>
  <c r="K72" i="27"/>
  <c r="K662" i="94"/>
  <c r="J72" i="27"/>
  <c r="J662" i="94"/>
  <c r="I72" i="27"/>
  <c r="I662" i="94"/>
  <c r="H72" i="27"/>
  <c r="H662" i="94"/>
  <c r="G72" i="27"/>
  <c r="G662" i="94"/>
  <c r="F72" i="27"/>
  <c r="E72" i="27"/>
  <c r="E662" i="94"/>
  <c r="D72" i="27"/>
  <c r="D662" i="94"/>
  <c r="X71" i="27"/>
  <c r="R71" i="27"/>
  <c r="Q71" i="27"/>
  <c r="P71" i="27"/>
  <c r="L71" i="27"/>
  <c r="L649" i="94"/>
  <c r="K71" i="27"/>
  <c r="K649" i="94"/>
  <c r="J71" i="27"/>
  <c r="J649" i="94"/>
  <c r="I71" i="27"/>
  <c r="H71" i="27"/>
  <c r="H649" i="94"/>
  <c r="G71" i="27"/>
  <c r="F71" i="27"/>
  <c r="F649" i="94"/>
  <c r="E71" i="27"/>
  <c r="E649" i="94"/>
  <c r="D71" i="27"/>
  <c r="D649" i="94"/>
  <c r="X70" i="27"/>
  <c r="R70" i="27"/>
  <c r="Q70" i="27"/>
  <c r="P70" i="27"/>
  <c r="L70" i="27"/>
  <c r="K70" i="27"/>
  <c r="K636" i="94"/>
  <c r="J70" i="27"/>
  <c r="J636" i="94"/>
  <c r="I70" i="27"/>
  <c r="I636" i="94"/>
  <c r="H70" i="27"/>
  <c r="H636" i="94"/>
  <c r="G70" i="27"/>
  <c r="G636" i="94"/>
  <c r="F70" i="27"/>
  <c r="E70" i="27"/>
  <c r="E636" i="94"/>
  <c r="D70" i="27"/>
  <c r="X69" i="27"/>
  <c r="R69" i="27"/>
  <c r="Q69" i="27"/>
  <c r="P69" i="27"/>
  <c r="L69" i="27"/>
  <c r="L623" i="94"/>
  <c r="K69" i="27"/>
  <c r="K623" i="94"/>
  <c r="J69" i="27"/>
  <c r="J623" i="94"/>
  <c r="I69" i="27"/>
  <c r="I623" i="94"/>
  <c r="H69" i="27"/>
  <c r="H623" i="94"/>
  <c r="G69" i="27"/>
  <c r="G623" i="94"/>
  <c r="F69" i="27"/>
  <c r="F623" i="94"/>
  <c r="E69" i="27"/>
  <c r="D69" i="27"/>
  <c r="D623" i="94"/>
  <c r="X68" i="27"/>
  <c r="R68" i="27"/>
  <c r="Q68" i="27"/>
  <c r="P68" i="27"/>
  <c r="E12" i="95"/>
  <c r="L68" i="27"/>
  <c r="L610" i="94"/>
  <c r="K68" i="27"/>
  <c r="K610" i="94"/>
  <c r="J68" i="27"/>
  <c r="J610" i="94"/>
  <c r="I68" i="27"/>
  <c r="I610" i="94"/>
  <c r="H68" i="27"/>
  <c r="H610" i="94"/>
  <c r="G68" i="27"/>
  <c r="F68" i="27"/>
  <c r="E68" i="27"/>
  <c r="E610" i="94"/>
  <c r="D68" i="27"/>
  <c r="D610" i="94"/>
  <c r="X67" i="27"/>
  <c r="R67" i="27"/>
  <c r="Q67" i="27"/>
  <c r="P67" i="27"/>
  <c r="L67" i="27"/>
  <c r="L597" i="94"/>
  <c r="K67" i="27"/>
  <c r="K597" i="94"/>
  <c r="J67" i="27"/>
  <c r="I67" i="27"/>
  <c r="I597" i="94"/>
  <c r="H67" i="27"/>
  <c r="H597" i="94"/>
  <c r="G67" i="27"/>
  <c r="G597" i="94"/>
  <c r="F67" i="27"/>
  <c r="F597" i="94"/>
  <c r="E67" i="27"/>
  <c r="E597" i="94"/>
  <c r="D67" i="27"/>
  <c r="D597" i="94"/>
  <c r="X66" i="27"/>
  <c r="R66" i="27"/>
  <c r="Q66" i="27"/>
  <c r="P66" i="27"/>
  <c r="L66" i="27"/>
  <c r="L584" i="94"/>
  <c r="K66" i="27"/>
  <c r="K584" i="94"/>
  <c r="J66" i="27"/>
  <c r="J584" i="94"/>
  <c r="I66" i="27"/>
  <c r="I584" i="94"/>
  <c r="H66" i="27"/>
  <c r="H584" i="94"/>
  <c r="G66" i="27"/>
  <c r="G584" i="94"/>
  <c r="F66" i="27"/>
  <c r="F584" i="94"/>
  <c r="E66" i="27"/>
  <c r="E584" i="94"/>
  <c r="D66" i="27"/>
  <c r="D584" i="94"/>
  <c r="X65" i="27"/>
  <c r="R65" i="27"/>
  <c r="Q65" i="27"/>
  <c r="P65" i="27"/>
  <c r="L65" i="27"/>
  <c r="L571" i="94"/>
  <c r="K65" i="27"/>
  <c r="K571" i="94"/>
  <c r="J65" i="27"/>
  <c r="J571" i="94"/>
  <c r="I65" i="27"/>
  <c r="I571" i="94"/>
  <c r="H65" i="27"/>
  <c r="G65" i="27"/>
  <c r="G571" i="94"/>
  <c r="F65" i="27"/>
  <c r="F571" i="94"/>
  <c r="E65" i="27"/>
  <c r="E571" i="94"/>
  <c r="D65" i="27"/>
  <c r="D571" i="94"/>
  <c r="L61" i="27"/>
  <c r="L531" i="94"/>
  <c r="K61" i="27"/>
  <c r="K531" i="94"/>
  <c r="J61" i="27"/>
  <c r="J531" i="94"/>
  <c r="I61" i="27"/>
  <c r="I531" i="94"/>
  <c r="H61" i="27"/>
  <c r="G61" i="27"/>
  <c r="G531" i="94"/>
  <c r="F61" i="27"/>
  <c r="F531" i="94"/>
  <c r="E61" i="27"/>
  <c r="E531" i="94"/>
  <c r="D61" i="27"/>
  <c r="D531" i="94"/>
  <c r="L60" i="27"/>
  <c r="L518" i="94"/>
  <c r="K60" i="27"/>
  <c r="K518" i="94"/>
  <c r="J60" i="27"/>
  <c r="J518" i="94"/>
  <c r="I60" i="27"/>
  <c r="I518" i="94"/>
  <c r="H60" i="27"/>
  <c r="H518" i="94"/>
  <c r="G60" i="27"/>
  <c r="G518" i="94"/>
  <c r="F60" i="27"/>
  <c r="E60" i="27"/>
  <c r="E518" i="94"/>
  <c r="D60" i="27"/>
  <c r="D518" i="94"/>
  <c r="L59" i="27"/>
  <c r="L505" i="94"/>
  <c r="K59" i="27"/>
  <c r="K505" i="94"/>
  <c r="J59" i="27"/>
  <c r="J505" i="94"/>
  <c r="I59" i="27"/>
  <c r="I505" i="94"/>
  <c r="H59" i="27"/>
  <c r="H505" i="94"/>
  <c r="G59" i="27"/>
  <c r="G505" i="94"/>
  <c r="F59" i="27"/>
  <c r="F505" i="94"/>
  <c r="E59" i="27"/>
  <c r="D59" i="27"/>
  <c r="D505" i="94"/>
  <c r="L58" i="27"/>
  <c r="K58" i="27"/>
  <c r="K492" i="94"/>
  <c r="J58" i="27"/>
  <c r="J492" i="94"/>
  <c r="I58" i="27"/>
  <c r="I492" i="94"/>
  <c r="H58" i="27"/>
  <c r="H492" i="94"/>
  <c r="G58" i="27"/>
  <c r="G492" i="94"/>
  <c r="F58" i="27"/>
  <c r="F492" i="94"/>
  <c r="E58" i="27"/>
  <c r="E492" i="94"/>
  <c r="D58" i="27"/>
  <c r="D492" i="94"/>
  <c r="L57" i="27"/>
  <c r="K57" i="27"/>
  <c r="K479" i="94"/>
  <c r="J57" i="27"/>
  <c r="J479" i="94"/>
  <c r="I57" i="27"/>
  <c r="I479" i="94"/>
  <c r="H57" i="27"/>
  <c r="H479" i="94"/>
  <c r="G57" i="27"/>
  <c r="G479" i="94"/>
  <c r="F57" i="27"/>
  <c r="F479" i="94"/>
  <c r="E57" i="27"/>
  <c r="E479" i="94"/>
  <c r="D57" i="27"/>
  <c r="D479" i="94"/>
  <c r="L56" i="27"/>
  <c r="L466" i="94"/>
  <c r="K56" i="27"/>
  <c r="K466" i="94"/>
  <c r="J56" i="27"/>
  <c r="J466" i="94"/>
  <c r="I56" i="27"/>
  <c r="I466" i="94"/>
  <c r="H56" i="27"/>
  <c r="H466" i="94"/>
  <c r="G56" i="27"/>
  <c r="G466" i="94"/>
  <c r="F56" i="27"/>
  <c r="D32" i="26"/>
  <c r="E56" i="27"/>
  <c r="D56" i="27"/>
  <c r="D466" i="94"/>
  <c r="L53" i="27"/>
  <c r="L451" i="94"/>
  <c r="K53" i="27"/>
  <c r="K451" i="94"/>
  <c r="J53" i="27"/>
  <c r="J451" i="94"/>
  <c r="I53" i="27"/>
  <c r="I451" i="94"/>
  <c r="H53" i="27"/>
  <c r="H451" i="94"/>
  <c r="G53" i="27"/>
  <c r="G451" i="94"/>
  <c r="F53" i="27"/>
  <c r="F451" i="94"/>
  <c r="E53" i="27"/>
  <c r="E451" i="94"/>
  <c r="D53" i="27"/>
  <c r="D451" i="94"/>
  <c r="L50" i="27"/>
  <c r="L436" i="94"/>
  <c r="K50" i="27"/>
  <c r="K436" i="94"/>
  <c r="J50" i="27"/>
  <c r="J436" i="94"/>
  <c r="I50" i="27"/>
  <c r="I436" i="94"/>
  <c r="H50" i="27"/>
  <c r="H436" i="94"/>
  <c r="G50" i="27"/>
  <c r="F50" i="27"/>
  <c r="E50" i="27"/>
  <c r="E436" i="94"/>
  <c r="D50" i="27"/>
  <c r="D436" i="94"/>
  <c r="L47" i="27"/>
  <c r="L421" i="94"/>
  <c r="K47" i="27"/>
  <c r="K421" i="94"/>
  <c r="J47" i="27"/>
  <c r="J421" i="94"/>
  <c r="I47" i="27"/>
  <c r="H47" i="27"/>
  <c r="H421" i="94"/>
  <c r="G47" i="27"/>
  <c r="G421" i="94"/>
  <c r="F47" i="27"/>
  <c r="F421" i="94"/>
  <c r="E47" i="27"/>
  <c r="E421" i="94"/>
  <c r="D47" i="27"/>
  <c r="D421" i="94"/>
  <c r="L41" i="27"/>
  <c r="L379" i="94"/>
  <c r="K41" i="27"/>
  <c r="K379" i="94"/>
  <c r="J41" i="27"/>
  <c r="J379" i="94"/>
  <c r="I41" i="27"/>
  <c r="I379" i="94"/>
  <c r="H41" i="27"/>
  <c r="H379" i="94"/>
  <c r="G41" i="27"/>
  <c r="G379" i="94"/>
  <c r="F41" i="27"/>
  <c r="F379" i="94"/>
  <c r="E41" i="27"/>
  <c r="E379" i="94"/>
  <c r="D41" i="27"/>
  <c r="D379" i="94"/>
  <c r="L40" i="27"/>
  <c r="L366" i="94"/>
  <c r="K40" i="27"/>
  <c r="K366" i="94"/>
  <c r="J40" i="27"/>
  <c r="J366" i="94"/>
  <c r="I40" i="27"/>
  <c r="I366" i="94"/>
  <c r="H40" i="27"/>
  <c r="G40" i="27"/>
  <c r="G366" i="94"/>
  <c r="F40" i="27"/>
  <c r="F366" i="94"/>
  <c r="E40" i="27"/>
  <c r="E366" i="94"/>
  <c r="D40" i="27"/>
  <c r="D366" i="94"/>
  <c r="L39" i="27"/>
  <c r="L353" i="94"/>
  <c r="K39" i="27"/>
  <c r="J39" i="27"/>
  <c r="J353" i="94"/>
  <c r="I39" i="27"/>
  <c r="I353" i="94"/>
  <c r="H39" i="27"/>
  <c r="H353" i="94"/>
  <c r="G39" i="27"/>
  <c r="G353" i="94"/>
  <c r="F39" i="27"/>
  <c r="F353" i="94"/>
  <c r="E39" i="27"/>
  <c r="E353" i="94"/>
  <c r="D39" i="27"/>
  <c r="L38" i="27"/>
  <c r="L340" i="94"/>
  <c r="K38" i="27"/>
  <c r="K340" i="94"/>
  <c r="J38" i="27"/>
  <c r="J340" i="94"/>
  <c r="I38" i="27"/>
  <c r="I340" i="94"/>
  <c r="H38" i="27"/>
  <c r="H340" i="94"/>
  <c r="G38" i="27"/>
  <c r="G340" i="94"/>
  <c r="F38" i="27"/>
  <c r="F340" i="94"/>
  <c r="E38" i="27"/>
  <c r="E340" i="94"/>
  <c r="D38" i="27"/>
  <c r="L37" i="27"/>
  <c r="L327" i="94"/>
  <c r="K37" i="27"/>
  <c r="K327" i="94"/>
  <c r="J37" i="27"/>
  <c r="J327" i="94"/>
  <c r="I37" i="27"/>
  <c r="I327" i="94"/>
  <c r="H37" i="27"/>
  <c r="H327" i="94"/>
  <c r="G37" i="27"/>
  <c r="G327" i="94"/>
  <c r="F37" i="27"/>
  <c r="F327" i="94"/>
  <c r="E37" i="27"/>
  <c r="E327" i="94"/>
  <c r="D37" i="27"/>
  <c r="D327" i="94"/>
  <c r="L36" i="27"/>
  <c r="L314" i="94"/>
  <c r="K36" i="27"/>
  <c r="K314" i="94"/>
  <c r="J36" i="27"/>
  <c r="J314" i="94"/>
  <c r="I36" i="27"/>
  <c r="H36" i="27"/>
  <c r="H314" i="94"/>
  <c r="G36" i="27"/>
  <c r="F36" i="27"/>
  <c r="E36" i="27"/>
  <c r="E314" i="94"/>
  <c r="D36" i="27"/>
  <c r="D314" i="94"/>
  <c r="L35" i="27"/>
  <c r="L301" i="94"/>
  <c r="K35" i="27"/>
  <c r="K301" i="94"/>
  <c r="J35" i="27"/>
  <c r="J301" i="94"/>
  <c r="I35" i="27"/>
  <c r="I301" i="94"/>
  <c r="H35" i="27"/>
  <c r="G35" i="27"/>
  <c r="G301" i="94"/>
  <c r="F35" i="27"/>
  <c r="F301" i="94"/>
  <c r="E35" i="27"/>
  <c r="E301" i="94"/>
  <c r="D35" i="27"/>
  <c r="D301" i="94"/>
  <c r="R34" i="27"/>
  <c r="L114" i="27"/>
  <c r="L34" i="27"/>
  <c r="L288" i="94"/>
  <c r="K34" i="27"/>
  <c r="K288" i="94"/>
  <c r="J34" i="27"/>
  <c r="J288" i="94"/>
  <c r="I34" i="27"/>
  <c r="I288" i="94"/>
  <c r="H34" i="27"/>
  <c r="H288" i="94"/>
  <c r="G34" i="27"/>
  <c r="G288" i="94"/>
  <c r="F34" i="27"/>
  <c r="F288" i="94"/>
  <c r="E34" i="27"/>
  <c r="E288" i="94"/>
  <c r="D34" i="27"/>
  <c r="D288" i="94"/>
  <c r="L33" i="27"/>
  <c r="L275" i="94"/>
  <c r="K33" i="27"/>
  <c r="K275" i="94"/>
  <c r="J33" i="27"/>
  <c r="J275" i="94"/>
  <c r="I33" i="27"/>
  <c r="I275" i="94"/>
  <c r="H33" i="27"/>
  <c r="H275" i="94"/>
  <c r="G33" i="27"/>
  <c r="G275" i="94"/>
  <c r="F33" i="27"/>
  <c r="F275" i="94"/>
  <c r="E33" i="27"/>
  <c r="E275" i="94"/>
  <c r="D33" i="27"/>
  <c r="D275" i="94"/>
  <c r="Q32" i="27"/>
  <c r="L113" i="27"/>
  <c r="L32" i="27"/>
  <c r="K32" i="27"/>
  <c r="K262" i="94"/>
  <c r="J32" i="27"/>
  <c r="J262" i="94"/>
  <c r="I32" i="27"/>
  <c r="I262" i="94"/>
  <c r="H32" i="27"/>
  <c r="H262" i="94"/>
  <c r="G32" i="27"/>
  <c r="G262" i="94"/>
  <c r="F32" i="27"/>
  <c r="F262" i="94"/>
  <c r="E32" i="27"/>
  <c r="D32" i="27"/>
  <c r="D262" i="94"/>
  <c r="L28" i="27"/>
  <c r="L222" i="94"/>
  <c r="K28" i="27"/>
  <c r="K222" i="94"/>
  <c r="J28" i="27"/>
  <c r="J222" i="94"/>
  <c r="I28" i="27"/>
  <c r="I222" i="94"/>
  <c r="H28" i="27"/>
  <c r="H222" i="94"/>
  <c r="G28" i="27"/>
  <c r="G222" i="94"/>
  <c r="F28" i="27"/>
  <c r="F222" i="94"/>
  <c r="E28" i="27"/>
  <c r="E222" i="94"/>
  <c r="D28" i="27"/>
  <c r="D222" i="94"/>
  <c r="L27" i="27"/>
  <c r="L209" i="94"/>
  <c r="K27" i="27"/>
  <c r="K209" i="94"/>
  <c r="J27" i="27"/>
  <c r="J209" i="94"/>
  <c r="I27" i="27"/>
  <c r="I209" i="94"/>
  <c r="H27" i="27"/>
  <c r="H209" i="94"/>
  <c r="G27" i="27"/>
  <c r="F27" i="27"/>
  <c r="F209" i="94"/>
  <c r="E27" i="27"/>
  <c r="E209" i="94"/>
  <c r="D27" i="27"/>
  <c r="D209" i="94"/>
  <c r="L26" i="27"/>
  <c r="L196" i="94"/>
  <c r="K26" i="27"/>
  <c r="K196" i="94"/>
  <c r="J26" i="27"/>
  <c r="J196" i="94"/>
  <c r="I26" i="27"/>
  <c r="I196" i="94"/>
  <c r="H26" i="27"/>
  <c r="H196" i="94"/>
  <c r="G26" i="27"/>
  <c r="F26" i="27"/>
  <c r="F196" i="94"/>
  <c r="E26" i="27"/>
  <c r="E196" i="94"/>
  <c r="L25" i="27"/>
  <c r="L183" i="94"/>
  <c r="K25" i="27"/>
  <c r="K183" i="94"/>
  <c r="J25" i="27"/>
  <c r="J183" i="94"/>
  <c r="I25" i="27"/>
  <c r="I183" i="94"/>
  <c r="H25" i="27"/>
  <c r="H183" i="94"/>
  <c r="G25" i="27"/>
  <c r="G183" i="94"/>
  <c r="F25" i="27"/>
  <c r="F183" i="94"/>
  <c r="E25" i="27"/>
  <c r="E183" i="94"/>
  <c r="D25" i="27"/>
  <c r="D183" i="94"/>
  <c r="L24" i="27"/>
  <c r="L170" i="94"/>
  <c r="K24" i="27"/>
  <c r="K170" i="94"/>
  <c r="J24" i="27"/>
  <c r="J170" i="94"/>
  <c r="I24" i="27"/>
  <c r="I170" i="94"/>
  <c r="H24" i="27"/>
  <c r="H170" i="94"/>
  <c r="G24" i="27"/>
  <c r="G170" i="94"/>
  <c r="F24" i="27"/>
  <c r="F170" i="94"/>
  <c r="E24" i="27"/>
  <c r="D24" i="27"/>
  <c r="D170" i="94"/>
  <c r="L23" i="27"/>
  <c r="L157" i="94"/>
  <c r="K23" i="27"/>
  <c r="K157" i="94"/>
  <c r="J23" i="27"/>
  <c r="I23" i="27"/>
  <c r="I157" i="94"/>
  <c r="H23" i="27"/>
  <c r="H157" i="94"/>
  <c r="G23" i="27"/>
  <c r="G157" i="94"/>
  <c r="F23" i="27"/>
  <c r="F157" i="94"/>
  <c r="E23" i="27"/>
  <c r="E157" i="94"/>
  <c r="D23" i="27"/>
  <c r="D29" i="27"/>
  <c r="D235" i="94"/>
  <c r="L22" i="27"/>
  <c r="L144" i="94"/>
  <c r="K22" i="27"/>
  <c r="K144" i="94"/>
  <c r="J22" i="27"/>
  <c r="I22" i="27"/>
  <c r="I144" i="94"/>
  <c r="H22" i="27"/>
  <c r="H144" i="94"/>
  <c r="G22" i="27"/>
  <c r="G144" i="94"/>
  <c r="F22" i="27"/>
  <c r="F144" i="94"/>
  <c r="E22" i="27"/>
  <c r="E144" i="94"/>
  <c r="D22" i="27"/>
  <c r="D144" i="94"/>
  <c r="L21" i="27"/>
  <c r="K21" i="27"/>
  <c r="K131" i="94"/>
  <c r="J21" i="27"/>
  <c r="J131" i="94"/>
  <c r="I21" i="27"/>
  <c r="I131" i="94"/>
  <c r="H21" i="27"/>
  <c r="H131" i="94"/>
  <c r="G21" i="27"/>
  <c r="G131" i="94"/>
  <c r="F21" i="27"/>
  <c r="F131" i="94"/>
  <c r="E21" i="27"/>
  <c r="E131" i="94"/>
  <c r="D21" i="27"/>
  <c r="D131" i="94"/>
  <c r="L20" i="27"/>
  <c r="L118" i="94"/>
  <c r="I20" i="27"/>
  <c r="I118" i="94"/>
  <c r="H20" i="27"/>
  <c r="H118" i="94"/>
  <c r="G20" i="27"/>
  <c r="G118" i="94"/>
  <c r="F20" i="27"/>
  <c r="F118" i="94"/>
  <c r="E20" i="27"/>
  <c r="E118" i="94"/>
  <c r="D20" i="27"/>
  <c r="D118" i="94"/>
  <c r="J19" i="27"/>
  <c r="J105" i="94"/>
  <c r="H19" i="27"/>
  <c r="H105" i="94"/>
  <c r="G19" i="27"/>
  <c r="G105" i="94"/>
  <c r="F19" i="27"/>
  <c r="F105" i="94"/>
  <c r="E19" i="27"/>
  <c r="E105" i="94"/>
  <c r="D19" i="27"/>
  <c r="D105" i="94"/>
  <c r="L14" i="27"/>
  <c r="L64" i="94"/>
  <c r="K14" i="27"/>
  <c r="K64" i="94"/>
  <c r="J14" i="27"/>
  <c r="J64" i="94"/>
  <c r="I14" i="27"/>
  <c r="I64" i="94"/>
  <c r="H14" i="27"/>
  <c r="H64" i="94"/>
  <c r="G14" i="27"/>
  <c r="G64" i="94"/>
  <c r="F14" i="27"/>
  <c r="F64" i="94"/>
  <c r="E14" i="27"/>
  <c r="E64" i="94"/>
  <c r="D14" i="27"/>
  <c r="D64" i="94"/>
  <c r="L13" i="27"/>
  <c r="L51" i="94"/>
  <c r="K13" i="27"/>
  <c r="K51" i="94"/>
  <c r="J13" i="27"/>
  <c r="J51" i="94"/>
  <c r="I13" i="27"/>
  <c r="I51" i="94"/>
  <c r="H13" i="27"/>
  <c r="H51" i="94"/>
  <c r="G13" i="27"/>
  <c r="G51" i="94"/>
  <c r="F13" i="27"/>
  <c r="F51" i="94"/>
  <c r="E13" i="27"/>
  <c r="E51" i="94"/>
  <c r="D13" i="27"/>
  <c r="D51" i="94"/>
  <c r="D38" i="94"/>
  <c r="L11" i="27"/>
  <c r="K11" i="27"/>
  <c r="K25" i="94"/>
  <c r="J11" i="27"/>
  <c r="J25" i="94"/>
  <c r="I11" i="27"/>
  <c r="I25" i="94"/>
  <c r="H11" i="27"/>
  <c r="G11" i="27"/>
  <c r="G25" i="94"/>
  <c r="F11" i="27"/>
  <c r="F25" i="94"/>
  <c r="E11" i="27"/>
  <c r="E25" i="94"/>
  <c r="D11" i="27"/>
  <c r="L10" i="27"/>
  <c r="L12" i="94"/>
  <c r="K10" i="27"/>
  <c r="K12" i="94"/>
  <c r="J10" i="27"/>
  <c r="J12" i="94"/>
  <c r="I10" i="27"/>
  <c r="I12" i="94"/>
  <c r="H10" i="27"/>
  <c r="H12" i="94"/>
  <c r="G10" i="27"/>
  <c r="G12" i="94"/>
  <c r="F10" i="27"/>
  <c r="E10" i="27"/>
  <c r="D10" i="27"/>
  <c r="R103" i="22"/>
  <c r="P103" i="22"/>
  <c r="Y13" i="97"/>
  <c r="L97" i="22"/>
  <c r="L914" i="94"/>
  <c r="K97" i="22"/>
  <c r="K914" i="94"/>
  <c r="J97" i="22"/>
  <c r="J914" i="94"/>
  <c r="I97" i="22"/>
  <c r="I914" i="94"/>
  <c r="H97" i="22"/>
  <c r="G97" i="22"/>
  <c r="G914" i="94"/>
  <c r="F97" i="22"/>
  <c r="F914" i="94"/>
  <c r="E97" i="22"/>
  <c r="E914" i="94"/>
  <c r="D97" i="22"/>
  <c r="D914" i="94"/>
  <c r="L96" i="22"/>
  <c r="L901" i="94"/>
  <c r="K96" i="22"/>
  <c r="K901" i="94"/>
  <c r="J96" i="22"/>
  <c r="J901" i="94"/>
  <c r="I96" i="22"/>
  <c r="I901" i="94"/>
  <c r="H96" i="22"/>
  <c r="H901" i="94"/>
  <c r="G96" i="22"/>
  <c r="G901" i="94"/>
  <c r="F96" i="22"/>
  <c r="F901" i="94"/>
  <c r="E96" i="22"/>
  <c r="E901" i="94"/>
  <c r="D96" i="22"/>
  <c r="L95" i="22"/>
  <c r="L888" i="94"/>
  <c r="K95" i="22"/>
  <c r="K888" i="94"/>
  <c r="J95" i="22"/>
  <c r="J888" i="94"/>
  <c r="I95" i="22"/>
  <c r="I888" i="94"/>
  <c r="H95" i="22"/>
  <c r="H888" i="94"/>
  <c r="G95" i="22"/>
  <c r="G888" i="94"/>
  <c r="F95" i="22"/>
  <c r="E95" i="22"/>
  <c r="E888" i="94"/>
  <c r="D95" i="22"/>
  <c r="D888" i="94"/>
  <c r="L94" i="22"/>
  <c r="L875" i="94"/>
  <c r="K94" i="22"/>
  <c r="K875" i="94"/>
  <c r="J94" i="22"/>
  <c r="J875" i="94"/>
  <c r="I94" i="22"/>
  <c r="I875" i="94"/>
  <c r="H94" i="22"/>
  <c r="H875" i="94"/>
  <c r="G94" i="22"/>
  <c r="G875" i="94"/>
  <c r="F94" i="22"/>
  <c r="F875" i="94"/>
  <c r="E94" i="22"/>
  <c r="D94" i="22"/>
  <c r="D875" i="94"/>
  <c r="L93" i="22"/>
  <c r="L862" i="94"/>
  <c r="K93" i="22"/>
  <c r="K862" i="94"/>
  <c r="J93" i="22"/>
  <c r="J862" i="94"/>
  <c r="I93" i="22"/>
  <c r="I862" i="94"/>
  <c r="H93" i="22"/>
  <c r="H862" i="94"/>
  <c r="G93" i="22"/>
  <c r="G862" i="94"/>
  <c r="F93" i="22"/>
  <c r="F862" i="94"/>
  <c r="E93" i="22"/>
  <c r="D93" i="22"/>
  <c r="D862" i="94"/>
  <c r="L88" i="22"/>
  <c r="K88" i="22"/>
  <c r="K821" i="94"/>
  <c r="J88" i="22"/>
  <c r="J821" i="94"/>
  <c r="I88" i="22"/>
  <c r="I821" i="94"/>
  <c r="H88" i="22"/>
  <c r="H821" i="94"/>
  <c r="G88" i="22"/>
  <c r="G821" i="94"/>
  <c r="F88" i="22"/>
  <c r="D65" i="21"/>
  <c r="E88" i="22"/>
  <c r="D88" i="22"/>
  <c r="D821" i="94"/>
  <c r="S87" i="22"/>
  <c r="L121" i="22"/>
  <c r="L87" i="22"/>
  <c r="L808" i="94"/>
  <c r="K87" i="22"/>
  <c r="J87" i="22"/>
  <c r="J808" i="94"/>
  <c r="I87" i="22"/>
  <c r="H87" i="22"/>
  <c r="H808" i="94"/>
  <c r="G87" i="22"/>
  <c r="F87" i="22"/>
  <c r="F808" i="94"/>
  <c r="E87" i="22"/>
  <c r="E808" i="94"/>
  <c r="D87" i="22"/>
  <c r="D808" i="94"/>
  <c r="S84" i="22"/>
  <c r="L120" i="22"/>
  <c r="L83" i="22"/>
  <c r="L780" i="94"/>
  <c r="K83" i="22"/>
  <c r="K780" i="94"/>
  <c r="J83" i="22"/>
  <c r="J780" i="94"/>
  <c r="I83" i="22"/>
  <c r="I780" i="94"/>
  <c r="H83" i="22"/>
  <c r="H780" i="94"/>
  <c r="G83" i="22"/>
  <c r="G780" i="94"/>
  <c r="F83" i="22"/>
  <c r="F780" i="94"/>
  <c r="E83" i="22"/>
  <c r="E780" i="94"/>
  <c r="D83" i="22"/>
  <c r="L82" i="22"/>
  <c r="L767" i="94"/>
  <c r="K82" i="22"/>
  <c r="K767" i="94"/>
  <c r="J82" i="22"/>
  <c r="J767" i="94"/>
  <c r="I82" i="22"/>
  <c r="I767" i="94"/>
  <c r="H82" i="22"/>
  <c r="H767" i="94"/>
  <c r="G82" i="22"/>
  <c r="G767" i="94"/>
  <c r="F82" i="22"/>
  <c r="E82" i="22"/>
  <c r="E767" i="94"/>
  <c r="D82" i="22"/>
  <c r="D767" i="94"/>
  <c r="L81" i="22"/>
  <c r="L754" i="94"/>
  <c r="K81" i="22"/>
  <c r="K754" i="94"/>
  <c r="J81" i="22"/>
  <c r="J754" i="94"/>
  <c r="I81" i="22"/>
  <c r="I754" i="94"/>
  <c r="H81" i="22"/>
  <c r="H754" i="94"/>
  <c r="G81" i="22"/>
  <c r="F81" i="22"/>
  <c r="F754" i="94"/>
  <c r="E81" i="22"/>
  <c r="D81" i="22"/>
  <c r="D754" i="94"/>
  <c r="L80" i="22"/>
  <c r="K80" i="22"/>
  <c r="J80" i="22"/>
  <c r="J741" i="94"/>
  <c r="I80" i="22"/>
  <c r="I741" i="94"/>
  <c r="H80" i="22"/>
  <c r="H741" i="94"/>
  <c r="G80" i="22"/>
  <c r="G741" i="94"/>
  <c r="F80" i="22"/>
  <c r="E80" i="22"/>
  <c r="E741" i="94"/>
  <c r="D80" i="22"/>
  <c r="S77" i="22"/>
  <c r="S76" i="22"/>
  <c r="L76" i="22"/>
  <c r="L713" i="94"/>
  <c r="K76" i="22"/>
  <c r="K713" i="94"/>
  <c r="J76" i="22"/>
  <c r="J713" i="94"/>
  <c r="I76" i="22"/>
  <c r="I713" i="94"/>
  <c r="H76" i="22"/>
  <c r="H713" i="94"/>
  <c r="G76" i="22"/>
  <c r="G713" i="94"/>
  <c r="F76" i="22"/>
  <c r="E76" i="22"/>
  <c r="E713" i="94"/>
  <c r="D76" i="22"/>
  <c r="D713" i="94"/>
  <c r="L75" i="22"/>
  <c r="L700" i="94"/>
  <c r="K75" i="22"/>
  <c r="K700" i="94"/>
  <c r="J75" i="22"/>
  <c r="I75" i="22"/>
  <c r="I700" i="94"/>
  <c r="H75" i="22"/>
  <c r="H700" i="94"/>
  <c r="G75" i="22"/>
  <c r="G700" i="94"/>
  <c r="F75" i="22"/>
  <c r="F700" i="94"/>
  <c r="E75" i="22"/>
  <c r="D75" i="22"/>
  <c r="D700" i="94"/>
  <c r="X74" i="22"/>
  <c r="P74" i="22"/>
  <c r="L74" i="22"/>
  <c r="L687" i="94"/>
  <c r="K74" i="22"/>
  <c r="K687" i="94"/>
  <c r="J74" i="22"/>
  <c r="J687" i="94"/>
  <c r="I74" i="22"/>
  <c r="I687" i="94"/>
  <c r="H74" i="22"/>
  <c r="G74" i="22"/>
  <c r="G687" i="94"/>
  <c r="F74" i="22"/>
  <c r="D73" i="21"/>
  <c r="E74" i="22"/>
  <c r="E687" i="94"/>
  <c r="D74" i="22"/>
  <c r="D687" i="94"/>
  <c r="X73" i="22"/>
  <c r="R73" i="22"/>
  <c r="Q73" i="22"/>
  <c r="P73" i="22"/>
  <c r="L73" i="22"/>
  <c r="L674" i="94"/>
  <c r="K73" i="22"/>
  <c r="K674" i="94"/>
  <c r="J73" i="22"/>
  <c r="J674" i="94"/>
  <c r="I73" i="22"/>
  <c r="I674" i="94"/>
  <c r="H73" i="22"/>
  <c r="H674" i="94"/>
  <c r="G73" i="22"/>
  <c r="G674" i="94"/>
  <c r="F73" i="22"/>
  <c r="F674" i="94"/>
  <c r="E73" i="22"/>
  <c r="E674" i="94"/>
  <c r="D73" i="22"/>
  <c r="X72" i="22"/>
  <c r="R72" i="22"/>
  <c r="Q72" i="22"/>
  <c r="P72" i="22"/>
  <c r="L72" i="22"/>
  <c r="L661" i="94"/>
  <c r="K72" i="22"/>
  <c r="K661" i="94"/>
  <c r="J72" i="22"/>
  <c r="J661" i="94"/>
  <c r="I72" i="22"/>
  <c r="I661" i="94"/>
  <c r="H72" i="22"/>
  <c r="G72" i="22"/>
  <c r="G661" i="94"/>
  <c r="F72" i="22"/>
  <c r="F661" i="94"/>
  <c r="E72" i="22"/>
  <c r="E661" i="94"/>
  <c r="D72" i="22"/>
  <c r="D661" i="94"/>
  <c r="X71" i="22"/>
  <c r="R71" i="22"/>
  <c r="Q71" i="22"/>
  <c r="P71" i="22"/>
  <c r="L71" i="22"/>
  <c r="L648" i="94"/>
  <c r="K71" i="22"/>
  <c r="K648" i="94"/>
  <c r="J71" i="22"/>
  <c r="J648" i="94"/>
  <c r="I71" i="22"/>
  <c r="I648" i="94"/>
  <c r="H71" i="22"/>
  <c r="G71" i="22"/>
  <c r="F71" i="22"/>
  <c r="E71" i="22"/>
  <c r="E648" i="94"/>
  <c r="D71" i="22"/>
  <c r="D648" i="94"/>
  <c r="X70" i="22"/>
  <c r="R70" i="22"/>
  <c r="Q70" i="22"/>
  <c r="P70" i="22"/>
  <c r="L70" i="22"/>
  <c r="L635" i="94"/>
  <c r="K70" i="22"/>
  <c r="K635" i="94"/>
  <c r="J70" i="22"/>
  <c r="J635" i="94"/>
  <c r="I70" i="22"/>
  <c r="I635" i="94"/>
  <c r="H70" i="22"/>
  <c r="H635" i="94"/>
  <c r="G70" i="22"/>
  <c r="G635" i="94"/>
  <c r="F70" i="22"/>
  <c r="F635" i="94"/>
  <c r="E70" i="22"/>
  <c r="E635" i="94"/>
  <c r="D70" i="22"/>
  <c r="X69" i="22"/>
  <c r="R69" i="22"/>
  <c r="Q69" i="22"/>
  <c r="P69" i="22"/>
  <c r="L69" i="22"/>
  <c r="L622" i="94"/>
  <c r="K69" i="22"/>
  <c r="K622" i="94"/>
  <c r="J69" i="22"/>
  <c r="J622" i="94"/>
  <c r="I69" i="22"/>
  <c r="I622" i="94"/>
  <c r="H69" i="22"/>
  <c r="H622" i="94"/>
  <c r="G69" i="22"/>
  <c r="G622" i="94"/>
  <c r="F69" i="22"/>
  <c r="D46" i="21"/>
  <c r="E69" i="22"/>
  <c r="E622" i="94"/>
  <c r="D69" i="22"/>
  <c r="D622" i="94"/>
  <c r="X68" i="22"/>
  <c r="R68" i="22"/>
  <c r="Q68" i="22"/>
  <c r="P68" i="22"/>
  <c r="E11" i="95"/>
  <c r="L68" i="22"/>
  <c r="L609" i="94"/>
  <c r="K68" i="22"/>
  <c r="K609" i="94"/>
  <c r="J68" i="22"/>
  <c r="I68" i="22"/>
  <c r="I609" i="94"/>
  <c r="H68" i="22"/>
  <c r="H609" i="94"/>
  <c r="G68" i="22"/>
  <c r="G609" i="94"/>
  <c r="F68" i="22"/>
  <c r="F609" i="94"/>
  <c r="E68" i="22"/>
  <c r="E609" i="94"/>
  <c r="D68" i="22"/>
  <c r="D609" i="94"/>
  <c r="X67" i="22"/>
  <c r="R67" i="22"/>
  <c r="Q67" i="22"/>
  <c r="P67" i="22"/>
  <c r="L67" i="22"/>
  <c r="L596" i="94"/>
  <c r="K67" i="22"/>
  <c r="K596" i="94"/>
  <c r="J67" i="22"/>
  <c r="J596" i="94"/>
  <c r="I67" i="22"/>
  <c r="H67" i="22"/>
  <c r="H596" i="94"/>
  <c r="G67" i="22"/>
  <c r="G596" i="94"/>
  <c r="F67" i="22"/>
  <c r="F596" i="94"/>
  <c r="E67" i="22"/>
  <c r="D67" i="22"/>
  <c r="D596" i="94"/>
  <c r="X66" i="22"/>
  <c r="R66" i="22"/>
  <c r="Q66" i="22"/>
  <c r="P66" i="22"/>
  <c r="L66" i="22"/>
  <c r="K66" i="22"/>
  <c r="K583" i="94"/>
  <c r="J66" i="22"/>
  <c r="J583" i="94"/>
  <c r="I66" i="22"/>
  <c r="I583" i="94"/>
  <c r="H66" i="22"/>
  <c r="G66" i="22"/>
  <c r="G583" i="94"/>
  <c r="F66" i="22"/>
  <c r="F583" i="94"/>
  <c r="E66" i="22"/>
  <c r="E583" i="94"/>
  <c r="D66" i="22"/>
  <c r="X65" i="22"/>
  <c r="R65" i="22"/>
  <c r="Q65" i="22"/>
  <c r="P65" i="22"/>
  <c r="L65" i="22"/>
  <c r="L570" i="94"/>
  <c r="K65" i="22"/>
  <c r="K570" i="94"/>
  <c r="J65" i="22"/>
  <c r="J570" i="94"/>
  <c r="I65" i="22"/>
  <c r="I570" i="94"/>
  <c r="H65" i="22"/>
  <c r="H570" i="94"/>
  <c r="G65" i="22"/>
  <c r="F65" i="22"/>
  <c r="F570" i="94"/>
  <c r="E65" i="22"/>
  <c r="E570" i="94"/>
  <c r="D65" i="22"/>
  <c r="D570" i="94"/>
  <c r="L61" i="22"/>
  <c r="L530" i="94"/>
  <c r="K61" i="22"/>
  <c r="K530" i="94"/>
  <c r="J61" i="22"/>
  <c r="J530" i="94"/>
  <c r="I61" i="22"/>
  <c r="I530" i="94"/>
  <c r="H61" i="22"/>
  <c r="H530" i="94"/>
  <c r="G61" i="22"/>
  <c r="G530" i="94"/>
  <c r="F61" i="22"/>
  <c r="F530" i="94"/>
  <c r="E61" i="22"/>
  <c r="E530" i="94"/>
  <c r="D61" i="22"/>
  <c r="L60" i="22"/>
  <c r="L517" i="94"/>
  <c r="K60" i="22"/>
  <c r="K517" i="94"/>
  <c r="J60" i="22"/>
  <c r="J517" i="94"/>
  <c r="I60" i="22"/>
  <c r="I517" i="94"/>
  <c r="H60" i="22"/>
  <c r="H517" i="94"/>
  <c r="G60" i="22"/>
  <c r="G517" i="94"/>
  <c r="F60" i="22"/>
  <c r="F517" i="94"/>
  <c r="E60" i="22"/>
  <c r="D60" i="22"/>
  <c r="D517" i="94"/>
  <c r="L59" i="22"/>
  <c r="L504" i="94"/>
  <c r="K59" i="22"/>
  <c r="K504" i="94"/>
  <c r="J59" i="22"/>
  <c r="I59" i="22"/>
  <c r="I504" i="94"/>
  <c r="H59" i="22"/>
  <c r="H504" i="94"/>
  <c r="G59" i="22"/>
  <c r="G504" i="94"/>
  <c r="F59" i="22"/>
  <c r="E59" i="22"/>
  <c r="E504" i="94"/>
  <c r="D59" i="22"/>
  <c r="D504" i="94"/>
  <c r="L58" i="22"/>
  <c r="L491" i="94"/>
  <c r="K58" i="22"/>
  <c r="J58" i="22"/>
  <c r="J491" i="94"/>
  <c r="I58" i="22"/>
  <c r="I491" i="94"/>
  <c r="H58" i="22"/>
  <c r="H491" i="94"/>
  <c r="G58" i="22"/>
  <c r="G491" i="94"/>
  <c r="F58" i="22"/>
  <c r="F491" i="94"/>
  <c r="E58" i="22"/>
  <c r="E491" i="94"/>
  <c r="D58" i="22"/>
  <c r="D491" i="94"/>
  <c r="L57" i="22"/>
  <c r="K57" i="22"/>
  <c r="K478" i="94"/>
  <c r="J57" i="22"/>
  <c r="J478" i="94"/>
  <c r="I57" i="22"/>
  <c r="I478" i="94"/>
  <c r="H57" i="22"/>
  <c r="G57" i="22"/>
  <c r="G478" i="94"/>
  <c r="F57" i="22"/>
  <c r="D33" i="21"/>
  <c r="E57" i="22"/>
  <c r="E478" i="94"/>
  <c r="D57" i="22"/>
  <c r="L56" i="22"/>
  <c r="L465" i="94"/>
  <c r="K56" i="22"/>
  <c r="K465" i="94"/>
  <c r="J56" i="22"/>
  <c r="J465" i="94"/>
  <c r="I56" i="22"/>
  <c r="H56" i="22"/>
  <c r="H465" i="94"/>
  <c r="G56" i="22"/>
  <c r="G465" i="94"/>
  <c r="F56" i="22"/>
  <c r="F465" i="94"/>
  <c r="E56" i="22"/>
  <c r="D56" i="22"/>
  <c r="D465" i="94"/>
  <c r="L53" i="22"/>
  <c r="L450" i="94"/>
  <c r="K53" i="22"/>
  <c r="K450" i="94"/>
  <c r="J53" i="22"/>
  <c r="J450" i="94"/>
  <c r="I53" i="22"/>
  <c r="I450" i="94"/>
  <c r="H53" i="22"/>
  <c r="G53" i="22"/>
  <c r="G450" i="94"/>
  <c r="F53" i="22"/>
  <c r="E53" i="22"/>
  <c r="E450" i="94"/>
  <c r="D53" i="22"/>
  <c r="D450" i="94"/>
  <c r="L50" i="22"/>
  <c r="L435" i="94"/>
  <c r="K50" i="22"/>
  <c r="K435" i="94"/>
  <c r="J50" i="22"/>
  <c r="J435" i="94"/>
  <c r="I50" i="22"/>
  <c r="I435" i="94"/>
  <c r="H50" i="22"/>
  <c r="H435" i="94"/>
  <c r="G50" i="22"/>
  <c r="F50" i="22"/>
  <c r="F435" i="94"/>
  <c r="E50" i="22"/>
  <c r="E435" i="94"/>
  <c r="D50" i="22"/>
  <c r="D435" i="94"/>
  <c r="L47" i="22"/>
  <c r="K47" i="22"/>
  <c r="K420" i="94"/>
  <c r="J47" i="22"/>
  <c r="J420" i="94"/>
  <c r="I47" i="22"/>
  <c r="I420" i="94"/>
  <c r="H47" i="22"/>
  <c r="H420" i="94"/>
  <c r="G47" i="22"/>
  <c r="G420" i="94"/>
  <c r="F47" i="22"/>
  <c r="F420" i="94"/>
  <c r="E47" i="22"/>
  <c r="E420" i="94"/>
  <c r="D47" i="22"/>
  <c r="L41" i="22"/>
  <c r="L378" i="94"/>
  <c r="K41" i="22"/>
  <c r="K378" i="94"/>
  <c r="J41" i="22"/>
  <c r="J378" i="94"/>
  <c r="I41" i="22"/>
  <c r="H41" i="22"/>
  <c r="H378" i="94"/>
  <c r="G41" i="22"/>
  <c r="G378" i="94"/>
  <c r="F41" i="22"/>
  <c r="F378" i="94"/>
  <c r="E41" i="22"/>
  <c r="E378" i="94"/>
  <c r="D41" i="22"/>
  <c r="D378" i="94"/>
  <c r="L40" i="22"/>
  <c r="L365" i="94"/>
  <c r="K40" i="22"/>
  <c r="K365" i="94"/>
  <c r="J40" i="22"/>
  <c r="I40" i="22"/>
  <c r="I365" i="94"/>
  <c r="H40" i="22"/>
  <c r="H365" i="94"/>
  <c r="G40" i="22"/>
  <c r="G365" i="94"/>
  <c r="F40" i="22"/>
  <c r="F365" i="94"/>
  <c r="E40" i="22"/>
  <c r="E365" i="94"/>
  <c r="D40" i="22"/>
  <c r="D365" i="94"/>
  <c r="L39" i="22"/>
  <c r="L352" i="94"/>
  <c r="K39" i="22"/>
  <c r="K352" i="94"/>
  <c r="J39" i="22"/>
  <c r="J352" i="94"/>
  <c r="I39" i="22"/>
  <c r="I352" i="94"/>
  <c r="H39" i="22"/>
  <c r="H352" i="94"/>
  <c r="G39" i="22"/>
  <c r="G352" i="94"/>
  <c r="F39" i="22"/>
  <c r="F352" i="94"/>
  <c r="E39" i="22"/>
  <c r="E352" i="94"/>
  <c r="D39" i="22"/>
  <c r="L38" i="22"/>
  <c r="K38" i="22"/>
  <c r="K339" i="94"/>
  <c r="J38" i="22"/>
  <c r="J339" i="94"/>
  <c r="I38" i="22"/>
  <c r="I339" i="94"/>
  <c r="H38" i="22"/>
  <c r="G38" i="22"/>
  <c r="G339" i="94"/>
  <c r="F38" i="22"/>
  <c r="F339" i="94"/>
  <c r="E38" i="22"/>
  <c r="E339" i="94"/>
  <c r="D38" i="22"/>
  <c r="L37" i="22"/>
  <c r="L326" i="94"/>
  <c r="K37" i="22"/>
  <c r="K326" i="94"/>
  <c r="J37" i="22"/>
  <c r="J326" i="94"/>
  <c r="I37" i="22"/>
  <c r="H37" i="22"/>
  <c r="H326" i="94"/>
  <c r="G37" i="22"/>
  <c r="F37" i="22"/>
  <c r="F326" i="94"/>
  <c r="E37" i="22"/>
  <c r="D37" i="22"/>
  <c r="D326" i="94"/>
  <c r="L36" i="22"/>
  <c r="L313" i="94"/>
  <c r="K36" i="22"/>
  <c r="K313" i="94"/>
  <c r="J36" i="22"/>
  <c r="J313" i="94"/>
  <c r="I36" i="22"/>
  <c r="I313" i="94"/>
  <c r="H36" i="22"/>
  <c r="H313" i="94"/>
  <c r="G36" i="22"/>
  <c r="G313" i="94"/>
  <c r="F36" i="22"/>
  <c r="E36" i="22"/>
  <c r="E313" i="94"/>
  <c r="D36" i="22"/>
  <c r="D313" i="94"/>
  <c r="L35" i="22"/>
  <c r="L300" i="94"/>
  <c r="K35" i="22"/>
  <c r="J35" i="22"/>
  <c r="J300" i="94"/>
  <c r="I35" i="22"/>
  <c r="I300" i="94"/>
  <c r="H35" i="22"/>
  <c r="H300" i="94"/>
  <c r="G35" i="22"/>
  <c r="F35" i="22"/>
  <c r="F300" i="94"/>
  <c r="E35" i="22"/>
  <c r="E300" i="94"/>
  <c r="D35" i="22"/>
  <c r="D300" i="94"/>
  <c r="R34" i="22"/>
  <c r="L114" i="22"/>
  <c r="L34" i="22"/>
  <c r="L287" i="94"/>
  <c r="K34" i="22"/>
  <c r="K287" i="94"/>
  <c r="J34" i="22"/>
  <c r="J287" i="94"/>
  <c r="I34" i="22"/>
  <c r="H34" i="22"/>
  <c r="H287" i="94"/>
  <c r="G34" i="22"/>
  <c r="G287" i="94"/>
  <c r="F34" i="22"/>
  <c r="F287" i="94"/>
  <c r="E34" i="22"/>
  <c r="D34" i="22"/>
  <c r="D287" i="94"/>
  <c r="L33" i="22"/>
  <c r="L274" i="94"/>
  <c r="K33" i="22"/>
  <c r="K274" i="94"/>
  <c r="J33" i="22"/>
  <c r="I33" i="22"/>
  <c r="I274" i="94"/>
  <c r="H33" i="22"/>
  <c r="H274" i="94"/>
  <c r="G33" i="22"/>
  <c r="G274" i="94"/>
  <c r="F33" i="22"/>
  <c r="E33" i="22"/>
  <c r="E274" i="94"/>
  <c r="D33" i="22"/>
  <c r="D274" i="94"/>
  <c r="Q32" i="22"/>
  <c r="L113" i="22"/>
  <c r="L32" i="22"/>
  <c r="L261" i="94"/>
  <c r="K32" i="22"/>
  <c r="K261" i="94"/>
  <c r="J32" i="22"/>
  <c r="J261" i="94"/>
  <c r="I32" i="22"/>
  <c r="I261" i="94"/>
  <c r="H32" i="22"/>
  <c r="G32" i="22"/>
  <c r="G261" i="94"/>
  <c r="F32" i="22"/>
  <c r="F261" i="94"/>
  <c r="E32" i="22"/>
  <c r="E261" i="94"/>
  <c r="D32" i="22"/>
  <c r="L28" i="22"/>
  <c r="L221" i="94"/>
  <c r="K28" i="22"/>
  <c r="K221" i="94"/>
  <c r="J28" i="22"/>
  <c r="J221" i="94"/>
  <c r="I28" i="22"/>
  <c r="I221" i="94"/>
  <c r="H28" i="22"/>
  <c r="H221" i="94"/>
  <c r="G28" i="22"/>
  <c r="G221" i="94"/>
  <c r="F28" i="22"/>
  <c r="F221" i="94"/>
  <c r="E28" i="22"/>
  <c r="D28" i="22"/>
  <c r="D221" i="94"/>
  <c r="L27" i="22"/>
  <c r="L208" i="94"/>
  <c r="K27" i="22"/>
  <c r="K208" i="94"/>
  <c r="J27" i="22"/>
  <c r="J208" i="94"/>
  <c r="I27" i="22"/>
  <c r="I208" i="94"/>
  <c r="H27" i="22"/>
  <c r="H208" i="94"/>
  <c r="G27" i="22"/>
  <c r="G208" i="94"/>
  <c r="F27" i="22"/>
  <c r="E27" i="22"/>
  <c r="E208" i="94"/>
  <c r="D27" i="22"/>
  <c r="D208" i="94"/>
  <c r="L26" i="22"/>
  <c r="L195" i="94"/>
  <c r="K26" i="22"/>
  <c r="K195" i="94"/>
  <c r="J26" i="22"/>
  <c r="J195" i="94"/>
  <c r="I26" i="22"/>
  <c r="I195" i="94"/>
  <c r="H26" i="22"/>
  <c r="H195" i="94"/>
  <c r="G26" i="22"/>
  <c r="G195" i="94"/>
  <c r="F26" i="22"/>
  <c r="F195" i="94"/>
  <c r="E26" i="22"/>
  <c r="E195" i="94"/>
  <c r="L25" i="22"/>
  <c r="L182" i="94"/>
  <c r="K25" i="22"/>
  <c r="K182" i="94"/>
  <c r="J25" i="22"/>
  <c r="I25" i="22"/>
  <c r="I182" i="94"/>
  <c r="H25" i="22"/>
  <c r="H182" i="94"/>
  <c r="G25" i="22"/>
  <c r="G182" i="94"/>
  <c r="F25" i="22"/>
  <c r="E25" i="22"/>
  <c r="D25" i="22"/>
  <c r="D182" i="94"/>
  <c r="L24" i="22"/>
  <c r="K24" i="22"/>
  <c r="K169" i="94"/>
  <c r="J24" i="22"/>
  <c r="J169" i="94"/>
  <c r="I24" i="22"/>
  <c r="I169" i="94"/>
  <c r="H24" i="22"/>
  <c r="G24" i="22"/>
  <c r="G169" i="94"/>
  <c r="F24" i="22"/>
  <c r="F169" i="94"/>
  <c r="E24" i="22"/>
  <c r="E169" i="94"/>
  <c r="D24" i="22"/>
  <c r="D169" i="94"/>
  <c r="L23" i="22"/>
  <c r="L156" i="94"/>
  <c r="K23" i="22"/>
  <c r="K156" i="94"/>
  <c r="J23" i="22"/>
  <c r="J156" i="94"/>
  <c r="I23" i="22"/>
  <c r="H23" i="22"/>
  <c r="H156" i="94"/>
  <c r="G23" i="22"/>
  <c r="G156" i="94"/>
  <c r="F23" i="22"/>
  <c r="F156" i="94"/>
  <c r="E23" i="22"/>
  <c r="E156" i="94"/>
  <c r="D23" i="22"/>
  <c r="L22" i="22"/>
  <c r="L143" i="94"/>
  <c r="K22" i="22"/>
  <c r="K143" i="94"/>
  <c r="J22" i="22"/>
  <c r="I22" i="22"/>
  <c r="I143" i="94"/>
  <c r="H22" i="22"/>
  <c r="H143" i="94"/>
  <c r="G22" i="22"/>
  <c r="G143" i="94"/>
  <c r="F22" i="22"/>
  <c r="E22" i="22"/>
  <c r="E143" i="94"/>
  <c r="D22" i="22"/>
  <c r="D143" i="94"/>
  <c r="L21" i="22"/>
  <c r="L130" i="94"/>
  <c r="K21" i="22"/>
  <c r="K130" i="94"/>
  <c r="J21" i="22"/>
  <c r="J130" i="94"/>
  <c r="I21" i="22"/>
  <c r="I130" i="94"/>
  <c r="H21" i="22"/>
  <c r="H130" i="94"/>
  <c r="G21" i="22"/>
  <c r="F21" i="22"/>
  <c r="F130" i="94"/>
  <c r="E21" i="22"/>
  <c r="E130" i="94"/>
  <c r="D21" i="22"/>
  <c r="D130" i="94"/>
  <c r="L20" i="22"/>
  <c r="I20" i="22"/>
  <c r="I117" i="94"/>
  <c r="H20" i="22"/>
  <c r="H117" i="94"/>
  <c r="G20" i="22"/>
  <c r="G117" i="94"/>
  <c r="F20" i="22"/>
  <c r="E20" i="22"/>
  <c r="E117" i="94"/>
  <c r="D20" i="22"/>
  <c r="J19" i="22"/>
  <c r="J104" i="94"/>
  <c r="H19" i="22"/>
  <c r="G19" i="22"/>
  <c r="G104" i="94"/>
  <c r="F19" i="22"/>
  <c r="F104" i="94"/>
  <c r="E19" i="22"/>
  <c r="D19" i="22"/>
  <c r="D104" i="94"/>
  <c r="L14" i="22"/>
  <c r="L63" i="94"/>
  <c r="K14" i="22"/>
  <c r="K63" i="94"/>
  <c r="J14" i="22"/>
  <c r="J63" i="94"/>
  <c r="I14" i="22"/>
  <c r="I63" i="94"/>
  <c r="H14" i="22"/>
  <c r="H63" i="94"/>
  <c r="G14" i="22"/>
  <c r="G63" i="94"/>
  <c r="F14" i="22"/>
  <c r="D14" i="21"/>
  <c r="E14" i="22"/>
  <c r="E63" i="94"/>
  <c r="D14" i="22"/>
  <c r="L13" i="22"/>
  <c r="L50" i="94"/>
  <c r="K13" i="22"/>
  <c r="K50" i="94"/>
  <c r="J13" i="22"/>
  <c r="J50" i="94"/>
  <c r="I13" i="22"/>
  <c r="I50" i="94"/>
  <c r="H13" i="22"/>
  <c r="H50" i="94"/>
  <c r="G13" i="22"/>
  <c r="F13" i="22"/>
  <c r="E13" i="22"/>
  <c r="E50" i="94"/>
  <c r="D13" i="22"/>
  <c r="D37" i="94"/>
  <c r="L11" i="22"/>
  <c r="L24" i="94"/>
  <c r="K11" i="22"/>
  <c r="J11" i="22"/>
  <c r="J24" i="94"/>
  <c r="I11" i="22"/>
  <c r="H11" i="22"/>
  <c r="H24" i="94"/>
  <c r="G11" i="22"/>
  <c r="G24" i="94"/>
  <c r="F11" i="22"/>
  <c r="F24" i="94"/>
  <c r="E11" i="22"/>
  <c r="E24" i="94"/>
  <c r="D11" i="22"/>
  <c r="D24" i="94"/>
  <c r="L10" i="22"/>
  <c r="L11" i="94"/>
  <c r="K10" i="22"/>
  <c r="K11" i="94"/>
  <c r="J10" i="22"/>
  <c r="J11" i="94"/>
  <c r="I10" i="22"/>
  <c r="I11" i="94"/>
  <c r="H10" i="22"/>
  <c r="H11" i="94"/>
  <c r="G10" i="22"/>
  <c r="G11" i="94"/>
  <c r="F10" i="22"/>
  <c r="D10" i="21"/>
  <c r="E10" i="22"/>
  <c r="E11" i="94"/>
  <c r="D10" i="22"/>
  <c r="R103" i="17"/>
  <c r="P103" i="17"/>
  <c r="L97" i="17"/>
  <c r="L916" i="94"/>
  <c r="K97" i="17"/>
  <c r="K916" i="94"/>
  <c r="J97" i="17"/>
  <c r="J916" i="94"/>
  <c r="I97" i="17"/>
  <c r="I916" i="94"/>
  <c r="H97" i="17"/>
  <c r="H916" i="94"/>
  <c r="G97" i="17"/>
  <c r="F97" i="17"/>
  <c r="F916" i="94"/>
  <c r="E97" i="17"/>
  <c r="E916" i="94"/>
  <c r="D97" i="17"/>
  <c r="D916" i="94"/>
  <c r="L96" i="17"/>
  <c r="L903" i="94"/>
  <c r="K96" i="17"/>
  <c r="K903" i="94"/>
  <c r="J96" i="17"/>
  <c r="J903" i="94"/>
  <c r="I96" i="17"/>
  <c r="I903" i="94"/>
  <c r="H96" i="17"/>
  <c r="H903" i="94"/>
  <c r="G96" i="17"/>
  <c r="G903" i="94"/>
  <c r="F96" i="17"/>
  <c r="F903" i="94"/>
  <c r="E96" i="17"/>
  <c r="E903" i="94"/>
  <c r="D96" i="17"/>
  <c r="L95" i="17"/>
  <c r="K95" i="17"/>
  <c r="K890" i="94"/>
  <c r="J95" i="17"/>
  <c r="J890" i="94"/>
  <c r="I95" i="17"/>
  <c r="I890" i="94"/>
  <c r="H95" i="17"/>
  <c r="H890" i="94"/>
  <c r="G95" i="17"/>
  <c r="G890" i="94"/>
  <c r="F95" i="17"/>
  <c r="F890" i="94"/>
  <c r="E95" i="17"/>
  <c r="E890" i="94"/>
  <c r="D95" i="17"/>
  <c r="D890" i="94"/>
  <c r="L94" i="17"/>
  <c r="L877" i="94"/>
  <c r="K94" i="17"/>
  <c r="K877" i="94"/>
  <c r="J94" i="17"/>
  <c r="I94" i="17"/>
  <c r="I877" i="94"/>
  <c r="H94" i="17"/>
  <c r="H877" i="94"/>
  <c r="G94" i="17"/>
  <c r="G877" i="94"/>
  <c r="F94" i="17"/>
  <c r="F877" i="94"/>
  <c r="E94" i="17"/>
  <c r="E877" i="94"/>
  <c r="D94" i="17"/>
  <c r="D877" i="94"/>
  <c r="L93" i="17"/>
  <c r="L864" i="94"/>
  <c r="K93" i="17"/>
  <c r="K864" i="94"/>
  <c r="J93" i="17"/>
  <c r="J864" i="94"/>
  <c r="I93" i="17"/>
  <c r="I864" i="94"/>
  <c r="H93" i="17"/>
  <c r="H864" i="94"/>
  <c r="G93" i="17"/>
  <c r="G864" i="94"/>
  <c r="F93" i="17"/>
  <c r="F864" i="94"/>
  <c r="E93" i="17"/>
  <c r="E864" i="94"/>
  <c r="D93" i="17"/>
  <c r="D864" i="94"/>
  <c r="L88" i="17"/>
  <c r="L823" i="94"/>
  <c r="K88" i="17"/>
  <c r="K823" i="94"/>
  <c r="J88" i="17"/>
  <c r="J823" i="94"/>
  <c r="I88" i="17"/>
  <c r="I823" i="94"/>
  <c r="H88" i="17"/>
  <c r="H823" i="94"/>
  <c r="G88" i="17"/>
  <c r="F88" i="17"/>
  <c r="F823" i="94"/>
  <c r="E88" i="17"/>
  <c r="E823" i="94"/>
  <c r="D88" i="17"/>
  <c r="S87" i="17"/>
  <c r="L121" i="17"/>
  <c r="L87" i="17"/>
  <c r="K87" i="17"/>
  <c r="J87" i="17"/>
  <c r="I87" i="17"/>
  <c r="I810" i="94"/>
  <c r="H87" i="17"/>
  <c r="G87" i="17"/>
  <c r="G810" i="94"/>
  <c r="F87" i="17"/>
  <c r="E87" i="17"/>
  <c r="E810" i="94"/>
  <c r="D87" i="17"/>
  <c r="D810" i="94"/>
  <c r="S84" i="17"/>
  <c r="L120" i="17"/>
  <c r="L83" i="17"/>
  <c r="L782" i="94"/>
  <c r="K83" i="17"/>
  <c r="K782" i="94"/>
  <c r="J83" i="17"/>
  <c r="I83" i="17"/>
  <c r="I782" i="94"/>
  <c r="H83" i="17"/>
  <c r="H782" i="94"/>
  <c r="G83" i="17"/>
  <c r="G782" i="94"/>
  <c r="F83" i="17"/>
  <c r="F782" i="94"/>
  <c r="E83" i="17"/>
  <c r="D83" i="17"/>
  <c r="D782" i="94"/>
  <c r="L82" i="17"/>
  <c r="K82" i="17"/>
  <c r="K769" i="94"/>
  <c r="J82" i="17"/>
  <c r="J769" i="94"/>
  <c r="I82" i="17"/>
  <c r="I769" i="94"/>
  <c r="H82" i="17"/>
  <c r="H769" i="94"/>
  <c r="G82" i="17"/>
  <c r="F82" i="17"/>
  <c r="E82" i="17"/>
  <c r="E769" i="94"/>
  <c r="D82" i="17"/>
  <c r="L81" i="17"/>
  <c r="L756" i="94"/>
  <c r="K81" i="17"/>
  <c r="K756" i="94"/>
  <c r="J81" i="17"/>
  <c r="J756" i="94"/>
  <c r="I81" i="17"/>
  <c r="I756" i="94"/>
  <c r="H81" i="17"/>
  <c r="G81" i="17"/>
  <c r="G756" i="94"/>
  <c r="F81" i="17"/>
  <c r="F756" i="94"/>
  <c r="E81" i="17"/>
  <c r="E756" i="94"/>
  <c r="D81" i="17"/>
  <c r="L80" i="17"/>
  <c r="L743" i="94"/>
  <c r="K80" i="17"/>
  <c r="J80" i="17"/>
  <c r="J743" i="94"/>
  <c r="I80" i="17"/>
  <c r="I743" i="94"/>
  <c r="H80" i="17"/>
  <c r="H743" i="94"/>
  <c r="G80" i="17"/>
  <c r="G743" i="94"/>
  <c r="F80" i="17"/>
  <c r="E80" i="17"/>
  <c r="E743" i="94"/>
  <c r="D80" i="17"/>
  <c r="D743" i="94"/>
  <c r="S77" i="17"/>
  <c r="S76" i="17"/>
  <c r="L76" i="17"/>
  <c r="L715" i="94"/>
  <c r="K76" i="17"/>
  <c r="K715" i="94"/>
  <c r="J76" i="17"/>
  <c r="J715" i="94"/>
  <c r="I76" i="17"/>
  <c r="I715" i="94"/>
  <c r="H76" i="17"/>
  <c r="H715" i="94"/>
  <c r="G76" i="17"/>
  <c r="G715" i="94"/>
  <c r="F76" i="17"/>
  <c r="E76" i="17"/>
  <c r="E715" i="94"/>
  <c r="D76" i="17"/>
  <c r="D715" i="94"/>
  <c r="L75" i="17"/>
  <c r="L702" i="94"/>
  <c r="K75" i="17"/>
  <c r="K702" i="94"/>
  <c r="J75" i="17"/>
  <c r="J702" i="94"/>
  <c r="I75" i="17"/>
  <c r="I702" i="94"/>
  <c r="H75" i="17"/>
  <c r="G75" i="17"/>
  <c r="G702" i="94"/>
  <c r="F75" i="17"/>
  <c r="F702" i="94"/>
  <c r="E75" i="17"/>
  <c r="E702" i="94"/>
  <c r="D75" i="17"/>
  <c r="X74" i="17"/>
  <c r="P74" i="17"/>
  <c r="L74" i="17"/>
  <c r="L689" i="94"/>
  <c r="K74" i="17"/>
  <c r="K689" i="94"/>
  <c r="J74" i="17"/>
  <c r="I74" i="17"/>
  <c r="I689" i="94"/>
  <c r="H74" i="17"/>
  <c r="G74" i="17"/>
  <c r="G689" i="94"/>
  <c r="F74" i="17"/>
  <c r="F689" i="94"/>
  <c r="E74" i="17"/>
  <c r="E689" i="94"/>
  <c r="D74" i="17"/>
  <c r="D689" i="94"/>
  <c r="X73" i="17"/>
  <c r="R73" i="17"/>
  <c r="Q73" i="17"/>
  <c r="P73" i="17"/>
  <c r="L73" i="17"/>
  <c r="L676" i="94"/>
  <c r="K73" i="17"/>
  <c r="K676" i="94"/>
  <c r="J73" i="17"/>
  <c r="I73" i="17"/>
  <c r="I676" i="94"/>
  <c r="H73" i="17"/>
  <c r="H676" i="94"/>
  <c r="G73" i="17"/>
  <c r="G676" i="94"/>
  <c r="F73" i="17"/>
  <c r="F676" i="94"/>
  <c r="E73" i="17"/>
  <c r="E676" i="94"/>
  <c r="D73" i="17"/>
  <c r="X72" i="17"/>
  <c r="R72" i="17"/>
  <c r="Q72" i="17"/>
  <c r="P72" i="17"/>
  <c r="L72" i="17"/>
  <c r="L663" i="94"/>
  <c r="K72" i="17"/>
  <c r="K663" i="94"/>
  <c r="J72" i="17"/>
  <c r="J663" i="94"/>
  <c r="I72" i="17"/>
  <c r="H72" i="17"/>
  <c r="G72" i="17"/>
  <c r="G663" i="94"/>
  <c r="F72" i="17"/>
  <c r="F663" i="94"/>
  <c r="E72" i="17"/>
  <c r="E663" i="94"/>
  <c r="D72" i="17"/>
  <c r="D663" i="94"/>
  <c r="X71" i="17"/>
  <c r="R71" i="17"/>
  <c r="Q71" i="17"/>
  <c r="P71" i="17"/>
  <c r="L71" i="17"/>
  <c r="L650" i="94"/>
  <c r="K71" i="17"/>
  <c r="K650" i="94"/>
  <c r="J71" i="17"/>
  <c r="J650" i="94"/>
  <c r="I71" i="17"/>
  <c r="I650" i="94"/>
  <c r="H71" i="17"/>
  <c r="H650" i="94"/>
  <c r="G71" i="17"/>
  <c r="F71" i="17"/>
  <c r="E71" i="17"/>
  <c r="E650" i="94"/>
  <c r="D71" i="17"/>
  <c r="D650" i="94"/>
  <c r="X70" i="17"/>
  <c r="R70" i="17"/>
  <c r="Q70" i="17"/>
  <c r="P70" i="17"/>
  <c r="L70" i="17"/>
  <c r="K70" i="17"/>
  <c r="K637" i="94"/>
  <c r="J70" i="17"/>
  <c r="J637" i="94"/>
  <c r="I70" i="17"/>
  <c r="I637" i="94"/>
  <c r="H70" i="17"/>
  <c r="H637" i="94"/>
  <c r="G70" i="17"/>
  <c r="F70" i="17"/>
  <c r="E70" i="17"/>
  <c r="D70" i="17"/>
  <c r="D637" i="94"/>
  <c r="X69" i="17"/>
  <c r="R69" i="17"/>
  <c r="Q69" i="17"/>
  <c r="P69" i="17"/>
  <c r="L69" i="17"/>
  <c r="L624" i="94"/>
  <c r="K69" i="17"/>
  <c r="K624" i="94"/>
  <c r="J69" i="17"/>
  <c r="J624" i="94"/>
  <c r="I69" i="17"/>
  <c r="I624" i="94"/>
  <c r="H69" i="17"/>
  <c r="H624" i="94"/>
  <c r="G69" i="17"/>
  <c r="G624" i="94"/>
  <c r="F69" i="17"/>
  <c r="E69" i="17"/>
  <c r="D69" i="17"/>
  <c r="D624" i="94"/>
  <c r="X68" i="17"/>
  <c r="R68" i="17"/>
  <c r="Q68" i="17"/>
  <c r="P68" i="17"/>
  <c r="E10" i="95"/>
  <c r="L68" i="17"/>
  <c r="L611" i="94"/>
  <c r="K68" i="17"/>
  <c r="K611" i="94"/>
  <c r="J68" i="17"/>
  <c r="J611" i="94"/>
  <c r="I68" i="17"/>
  <c r="I611" i="94"/>
  <c r="H68" i="17"/>
  <c r="H611" i="94"/>
  <c r="G68" i="17"/>
  <c r="G611" i="94"/>
  <c r="F68" i="17"/>
  <c r="D45" i="16"/>
  <c r="E68" i="17"/>
  <c r="E611" i="94"/>
  <c r="D68" i="17"/>
  <c r="D611" i="94"/>
  <c r="X67" i="17"/>
  <c r="R67" i="17"/>
  <c r="Q67" i="17"/>
  <c r="P67" i="17"/>
  <c r="L67" i="17"/>
  <c r="L598" i="94"/>
  <c r="K67" i="17"/>
  <c r="J67" i="17"/>
  <c r="J598" i="94"/>
  <c r="I67" i="17"/>
  <c r="I598" i="94"/>
  <c r="H67" i="17"/>
  <c r="H598" i="94"/>
  <c r="G67" i="17"/>
  <c r="G598" i="94"/>
  <c r="F67" i="17"/>
  <c r="E67" i="17"/>
  <c r="E598" i="94"/>
  <c r="D67" i="17"/>
  <c r="D598" i="94"/>
  <c r="X66" i="17"/>
  <c r="R66" i="17"/>
  <c r="Q66" i="17"/>
  <c r="P66" i="17"/>
  <c r="L66" i="17"/>
  <c r="L585" i="94"/>
  <c r="K66" i="17"/>
  <c r="K585" i="94"/>
  <c r="J66" i="17"/>
  <c r="J585" i="94"/>
  <c r="I66" i="17"/>
  <c r="I585" i="94"/>
  <c r="H66" i="17"/>
  <c r="H585" i="94"/>
  <c r="G66" i="17"/>
  <c r="G585" i="94"/>
  <c r="F66" i="17"/>
  <c r="F585" i="94"/>
  <c r="E66" i="17"/>
  <c r="D66" i="17"/>
  <c r="X65" i="17"/>
  <c r="R65" i="17"/>
  <c r="Q65" i="17"/>
  <c r="P65" i="17"/>
  <c r="L65" i="17"/>
  <c r="L572" i="94"/>
  <c r="K65" i="17"/>
  <c r="K572" i="94"/>
  <c r="J65" i="17"/>
  <c r="J572" i="94"/>
  <c r="I65" i="17"/>
  <c r="I572" i="94"/>
  <c r="H65" i="17"/>
  <c r="H572" i="94"/>
  <c r="G65" i="17"/>
  <c r="G572" i="94"/>
  <c r="F65" i="17"/>
  <c r="E65" i="17"/>
  <c r="D65" i="17"/>
  <c r="D572" i="94"/>
  <c r="L532" i="94"/>
  <c r="K532" i="94"/>
  <c r="J532" i="94"/>
  <c r="I532" i="94"/>
  <c r="H532" i="94"/>
  <c r="G532" i="94"/>
  <c r="D532" i="94"/>
  <c r="L519" i="94"/>
  <c r="K519" i="94"/>
  <c r="J519" i="94"/>
  <c r="I519" i="94"/>
  <c r="H519" i="94"/>
  <c r="G519" i="94"/>
  <c r="E519" i="94"/>
  <c r="D519" i="94"/>
  <c r="L506" i="94"/>
  <c r="K506" i="94"/>
  <c r="J506" i="94"/>
  <c r="I506" i="94"/>
  <c r="H506" i="94"/>
  <c r="E506" i="94"/>
  <c r="D506" i="94"/>
  <c r="L493" i="94"/>
  <c r="K493" i="94"/>
  <c r="J493" i="94"/>
  <c r="I493" i="94"/>
  <c r="H493" i="94"/>
  <c r="G493" i="94"/>
  <c r="E493" i="94"/>
  <c r="D493" i="94"/>
  <c r="L480" i="94"/>
  <c r="K480" i="94"/>
  <c r="J480" i="94"/>
  <c r="I480" i="94"/>
  <c r="H480" i="94"/>
  <c r="G480" i="94"/>
  <c r="D480" i="94"/>
  <c r="L467" i="94"/>
  <c r="J467" i="94"/>
  <c r="I467" i="94"/>
  <c r="H467" i="94"/>
  <c r="G467" i="94"/>
  <c r="E467" i="94"/>
  <c r="D467" i="94"/>
  <c r="L53" i="17"/>
  <c r="L452" i="94"/>
  <c r="K53" i="17"/>
  <c r="K452" i="94"/>
  <c r="J53" i="17"/>
  <c r="J452" i="94"/>
  <c r="I53" i="17"/>
  <c r="I452" i="94"/>
  <c r="H53" i="17"/>
  <c r="H452" i="94"/>
  <c r="G53" i="17"/>
  <c r="G452" i="94"/>
  <c r="F53" i="17"/>
  <c r="F452" i="94"/>
  <c r="E53" i="17"/>
  <c r="E452" i="94"/>
  <c r="D53" i="17"/>
  <c r="L50" i="17"/>
  <c r="L437" i="94"/>
  <c r="K50" i="17"/>
  <c r="K437" i="94"/>
  <c r="J50" i="17"/>
  <c r="J437" i="94"/>
  <c r="I50" i="17"/>
  <c r="I437" i="94"/>
  <c r="H50" i="17"/>
  <c r="H437" i="94"/>
  <c r="G50" i="17"/>
  <c r="G437" i="94"/>
  <c r="F50" i="17"/>
  <c r="F437" i="94"/>
  <c r="E50" i="17"/>
  <c r="E437" i="94"/>
  <c r="D50" i="17"/>
  <c r="D437" i="94"/>
  <c r="L422" i="94"/>
  <c r="K422" i="94"/>
  <c r="J422" i="94"/>
  <c r="I422" i="94"/>
  <c r="H422" i="94"/>
  <c r="G422" i="94"/>
  <c r="E422" i="94"/>
  <c r="D422" i="94"/>
  <c r="L380" i="94"/>
  <c r="K380" i="94"/>
  <c r="J380" i="94"/>
  <c r="I380" i="94"/>
  <c r="H380" i="94"/>
  <c r="G380" i="94"/>
  <c r="E380" i="94"/>
  <c r="D380" i="94"/>
  <c r="L367" i="94"/>
  <c r="K367" i="94"/>
  <c r="J367" i="94"/>
  <c r="I367" i="94"/>
  <c r="H367" i="94"/>
  <c r="G367" i="94"/>
  <c r="F367" i="94"/>
  <c r="E367" i="94"/>
  <c r="D367" i="94"/>
  <c r="L354" i="94"/>
  <c r="K354" i="94"/>
  <c r="J354" i="94"/>
  <c r="I354" i="94"/>
  <c r="H354" i="94"/>
  <c r="F354" i="94"/>
  <c r="E354" i="94"/>
  <c r="D354" i="94"/>
  <c r="L341" i="94"/>
  <c r="K341" i="94"/>
  <c r="J341" i="94"/>
  <c r="I341" i="94"/>
  <c r="H341" i="94"/>
  <c r="G341" i="94"/>
  <c r="F341" i="94"/>
  <c r="E341" i="94"/>
  <c r="D341" i="94"/>
  <c r="L328" i="94"/>
  <c r="K328" i="94"/>
  <c r="I328" i="94"/>
  <c r="H328" i="94"/>
  <c r="G328" i="94"/>
  <c r="F328" i="94"/>
  <c r="E328" i="94"/>
  <c r="D328" i="94"/>
  <c r="J315" i="94"/>
  <c r="I315" i="94"/>
  <c r="H315" i="94"/>
  <c r="G315" i="94"/>
  <c r="F315" i="94"/>
  <c r="E315" i="94"/>
  <c r="D315" i="94"/>
  <c r="L35" i="17"/>
  <c r="L302" i="94"/>
  <c r="K35" i="17"/>
  <c r="K302" i="94"/>
  <c r="J35" i="17"/>
  <c r="J302" i="94"/>
  <c r="I35" i="17"/>
  <c r="I302" i="94"/>
  <c r="H35" i="17"/>
  <c r="H302" i="94"/>
  <c r="G35" i="17"/>
  <c r="G302" i="94"/>
  <c r="F35" i="17"/>
  <c r="F302" i="94"/>
  <c r="E35" i="17"/>
  <c r="E302" i="94"/>
  <c r="D35" i="17"/>
  <c r="D302" i="94"/>
  <c r="R34" i="17"/>
  <c r="L114" i="17"/>
  <c r="L34" i="17"/>
  <c r="L289" i="94"/>
  <c r="K34" i="17"/>
  <c r="K289" i="94"/>
  <c r="J34" i="17"/>
  <c r="J289" i="94"/>
  <c r="I34" i="17"/>
  <c r="I289" i="94"/>
  <c r="H34" i="17"/>
  <c r="H289" i="94"/>
  <c r="G34" i="17"/>
  <c r="G289" i="94"/>
  <c r="F34" i="17"/>
  <c r="E34" i="17"/>
  <c r="E289" i="94"/>
  <c r="D34" i="17"/>
  <c r="D289" i="94"/>
  <c r="L33" i="17"/>
  <c r="L276" i="94"/>
  <c r="K33" i="17"/>
  <c r="K276" i="94"/>
  <c r="J33" i="17"/>
  <c r="J276" i="94"/>
  <c r="I33" i="17"/>
  <c r="I276" i="94"/>
  <c r="H33" i="17"/>
  <c r="H276" i="94"/>
  <c r="G33" i="17"/>
  <c r="G276" i="94"/>
  <c r="F33" i="17"/>
  <c r="F276" i="94"/>
  <c r="E33" i="17"/>
  <c r="E276" i="94"/>
  <c r="D33" i="17"/>
  <c r="D276" i="94"/>
  <c r="Q32" i="17"/>
  <c r="L113" i="17"/>
  <c r="L32" i="17"/>
  <c r="L263" i="94"/>
  <c r="K32" i="17"/>
  <c r="K263" i="94"/>
  <c r="J32" i="17"/>
  <c r="J263" i="94"/>
  <c r="I32" i="17"/>
  <c r="H32" i="17"/>
  <c r="H263" i="94"/>
  <c r="G32" i="17"/>
  <c r="G263" i="94"/>
  <c r="F32" i="17"/>
  <c r="F263" i="94"/>
  <c r="E32" i="17"/>
  <c r="E263" i="94"/>
  <c r="D32" i="17"/>
  <c r="D263" i="94"/>
  <c r="L223" i="94"/>
  <c r="K223" i="94"/>
  <c r="J223" i="94"/>
  <c r="I223" i="94"/>
  <c r="H223" i="94"/>
  <c r="G223" i="94"/>
  <c r="F223" i="94"/>
  <c r="E223" i="94"/>
  <c r="D223" i="94"/>
  <c r="L210" i="94"/>
  <c r="K210" i="94"/>
  <c r="J210" i="94"/>
  <c r="I210" i="94"/>
  <c r="H210" i="94"/>
  <c r="G210" i="94"/>
  <c r="F210" i="94"/>
  <c r="E210" i="94"/>
  <c r="D210" i="94"/>
  <c r="L197" i="94"/>
  <c r="K197" i="94"/>
  <c r="J197" i="94"/>
  <c r="H197" i="94"/>
  <c r="G197" i="94"/>
  <c r="F197" i="94"/>
  <c r="E197" i="94"/>
  <c r="K184" i="94"/>
  <c r="J184" i="94"/>
  <c r="I184" i="94"/>
  <c r="H184" i="94"/>
  <c r="G184" i="94"/>
  <c r="F184" i="94"/>
  <c r="E184" i="94"/>
  <c r="D184" i="94"/>
  <c r="L171" i="94"/>
  <c r="K171" i="94"/>
  <c r="J171" i="94"/>
  <c r="I171" i="94"/>
  <c r="H171" i="94"/>
  <c r="G171" i="94"/>
  <c r="F171" i="94"/>
  <c r="D171" i="94"/>
  <c r="L158" i="94"/>
  <c r="K158" i="94"/>
  <c r="J158" i="94"/>
  <c r="I158" i="94"/>
  <c r="H158" i="94"/>
  <c r="E158" i="94"/>
  <c r="D158" i="94"/>
  <c r="L22" i="17"/>
  <c r="L145" i="94"/>
  <c r="K22" i="17"/>
  <c r="K145" i="94"/>
  <c r="J22" i="17"/>
  <c r="J145" i="94"/>
  <c r="I22" i="17"/>
  <c r="I145" i="94"/>
  <c r="H22" i="17"/>
  <c r="H145" i="94"/>
  <c r="G22" i="17"/>
  <c r="G145" i="94"/>
  <c r="F22" i="17"/>
  <c r="F145" i="94"/>
  <c r="E22" i="17"/>
  <c r="E145" i="94"/>
  <c r="D22" i="17"/>
  <c r="D145" i="94"/>
  <c r="L21" i="17"/>
  <c r="L132" i="94"/>
  <c r="K21" i="17"/>
  <c r="K132" i="94"/>
  <c r="J21" i="17"/>
  <c r="J132" i="94"/>
  <c r="I21" i="17"/>
  <c r="I132" i="94"/>
  <c r="H21" i="17"/>
  <c r="H132" i="94"/>
  <c r="G21" i="17"/>
  <c r="G132" i="94"/>
  <c r="F21" i="17"/>
  <c r="F132" i="94"/>
  <c r="E21" i="17"/>
  <c r="E132" i="94"/>
  <c r="D21" i="17"/>
  <c r="D132" i="94"/>
  <c r="L20" i="17"/>
  <c r="L119" i="94"/>
  <c r="I20" i="17"/>
  <c r="I119" i="94"/>
  <c r="H20" i="17"/>
  <c r="H119" i="94"/>
  <c r="G20" i="17"/>
  <c r="F20" i="17"/>
  <c r="F119" i="94"/>
  <c r="E20" i="17"/>
  <c r="E119" i="94"/>
  <c r="D20" i="17"/>
  <c r="D119" i="94"/>
  <c r="J19" i="17"/>
  <c r="J106" i="94"/>
  <c r="H19" i="17"/>
  <c r="H106" i="94"/>
  <c r="G19" i="17"/>
  <c r="G106" i="94"/>
  <c r="F19" i="17"/>
  <c r="E19" i="17"/>
  <c r="E106" i="94"/>
  <c r="D19" i="17"/>
  <c r="D106" i="94"/>
  <c r="L65" i="94"/>
  <c r="K65" i="94"/>
  <c r="J65" i="94"/>
  <c r="I65" i="94"/>
  <c r="H65" i="94"/>
  <c r="G65" i="94"/>
  <c r="E65" i="94"/>
  <c r="D65" i="94"/>
  <c r="L52" i="94"/>
  <c r="K52" i="94"/>
  <c r="J52" i="94"/>
  <c r="I52" i="94"/>
  <c r="H52" i="94"/>
  <c r="G52" i="94"/>
  <c r="E52" i="94"/>
  <c r="D52" i="94"/>
  <c r="D39" i="94"/>
  <c r="L26" i="94"/>
  <c r="K26" i="94"/>
  <c r="J26" i="94"/>
  <c r="E26" i="94"/>
  <c r="D26" i="94"/>
  <c r="L13" i="94"/>
  <c r="I13" i="94"/>
  <c r="H13" i="94"/>
  <c r="G13" i="94"/>
  <c r="D13" i="94"/>
  <c r="V103" i="47"/>
  <c r="K20" i="47"/>
  <c r="K127" i="94"/>
  <c r="J20" i="47"/>
  <c r="J127" i="94"/>
  <c r="L19" i="47"/>
  <c r="K19" i="47"/>
  <c r="K114" i="94"/>
  <c r="I19" i="47"/>
  <c r="I114" i="94"/>
  <c r="L47" i="94"/>
  <c r="K47" i="94"/>
  <c r="J47" i="94"/>
  <c r="I47" i="94"/>
  <c r="H47" i="94"/>
  <c r="G47" i="94"/>
  <c r="F47" i="94"/>
  <c r="E47" i="94"/>
  <c r="V103" i="42"/>
  <c r="K20" i="42"/>
  <c r="K123" i="94"/>
  <c r="J20" i="42"/>
  <c r="J123" i="94"/>
  <c r="L19" i="42"/>
  <c r="L110" i="94"/>
  <c r="K19" i="42"/>
  <c r="K110" i="94"/>
  <c r="I19" i="42"/>
  <c r="L43" i="94"/>
  <c r="K43" i="94"/>
  <c r="J43" i="94"/>
  <c r="I43" i="94"/>
  <c r="H43" i="94"/>
  <c r="G43" i="94"/>
  <c r="F43" i="94"/>
  <c r="E43" i="94"/>
  <c r="V103" i="37"/>
  <c r="K20" i="37"/>
  <c r="K124" i="94"/>
  <c r="J20" i="37"/>
  <c r="J124" i="94"/>
  <c r="L19" i="37"/>
  <c r="L111" i="94"/>
  <c r="K19" i="37"/>
  <c r="K111" i="94"/>
  <c r="I19" i="37"/>
  <c r="I111" i="94"/>
  <c r="L44" i="94"/>
  <c r="K44" i="94"/>
  <c r="J44" i="94"/>
  <c r="I44" i="94"/>
  <c r="H44" i="94"/>
  <c r="G44" i="94"/>
  <c r="F44" i="94"/>
  <c r="E44" i="94"/>
  <c r="V103" i="32"/>
  <c r="K20" i="32"/>
  <c r="K120" i="94"/>
  <c r="J20" i="32"/>
  <c r="J120" i="94"/>
  <c r="L19" i="32"/>
  <c r="L107" i="94"/>
  <c r="K19" i="32"/>
  <c r="K107" i="94"/>
  <c r="I19" i="32"/>
  <c r="I107" i="94"/>
  <c r="L40" i="94"/>
  <c r="K40" i="94"/>
  <c r="J40" i="94"/>
  <c r="I40" i="94"/>
  <c r="H40" i="94"/>
  <c r="G40" i="94"/>
  <c r="F40" i="94"/>
  <c r="E40" i="94"/>
  <c r="V103" i="22"/>
  <c r="K20" i="22"/>
  <c r="K117" i="94"/>
  <c r="J20" i="22"/>
  <c r="J117" i="94"/>
  <c r="L19" i="22"/>
  <c r="L104" i="94"/>
  <c r="K19" i="22"/>
  <c r="K104" i="94"/>
  <c r="I19" i="22"/>
  <c r="I104" i="94"/>
  <c r="L37" i="94"/>
  <c r="K37" i="94"/>
  <c r="J37" i="94"/>
  <c r="I37" i="94"/>
  <c r="H37" i="94"/>
  <c r="G37" i="94"/>
  <c r="F37" i="94"/>
  <c r="E37" i="94"/>
  <c r="V103" i="17"/>
  <c r="K20" i="17"/>
  <c r="K119" i="94"/>
  <c r="J20" i="17"/>
  <c r="J119" i="94"/>
  <c r="L19" i="17"/>
  <c r="K19" i="17"/>
  <c r="I19" i="17"/>
  <c r="I106" i="94"/>
  <c r="L39" i="94"/>
  <c r="K39" i="94"/>
  <c r="J39" i="94"/>
  <c r="I39" i="94"/>
  <c r="H39" i="94"/>
  <c r="G39" i="94"/>
  <c r="E39" i="94"/>
  <c r="V103" i="27"/>
  <c r="K20" i="27"/>
  <c r="K118" i="94"/>
  <c r="J20" i="27"/>
  <c r="J118" i="94"/>
  <c r="L19" i="27"/>
  <c r="L105" i="94"/>
  <c r="K19" i="27"/>
  <c r="K105" i="94"/>
  <c r="I19" i="27"/>
  <c r="I105" i="94"/>
  <c r="L38" i="94"/>
  <c r="K38" i="94"/>
  <c r="J38" i="94"/>
  <c r="I38" i="94"/>
  <c r="H38" i="94"/>
  <c r="G38" i="94"/>
  <c r="F38" i="94"/>
  <c r="E38" i="94"/>
  <c r="L97" i="14"/>
  <c r="L919" i="94"/>
  <c r="K97" i="14"/>
  <c r="K919" i="94"/>
  <c r="J97" i="14"/>
  <c r="J919" i="94"/>
  <c r="I97" i="14"/>
  <c r="I919" i="94"/>
  <c r="H97" i="14"/>
  <c r="H919" i="94"/>
  <c r="G97" i="14"/>
  <c r="G919" i="94"/>
  <c r="F97" i="14"/>
  <c r="F919" i="94"/>
  <c r="E97" i="14"/>
  <c r="E919" i="94"/>
  <c r="D97" i="14"/>
  <c r="D919" i="94"/>
  <c r="L96" i="14"/>
  <c r="L906" i="94"/>
  <c r="K96" i="14"/>
  <c r="K906" i="94"/>
  <c r="J96" i="14"/>
  <c r="J906" i="94"/>
  <c r="I96" i="14"/>
  <c r="I906" i="94"/>
  <c r="H96" i="14"/>
  <c r="H906" i="94"/>
  <c r="G96" i="14"/>
  <c r="G906" i="94"/>
  <c r="F96" i="14"/>
  <c r="F906" i="94"/>
  <c r="E96" i="14"/>
  <c r="E906" i="94"/>
  <c r="D96" i="14"/>
  <c r="D906" i="94"/>
  <c r="L95" i="14"/>
  <c r="L893" i="94"/>
  <c r="K95" i="14"/>
  <c r="K893" i="94"/>
  <c r="J95" i="14"/>
  <c r="J893" i="94"/>
  <c r="I95" i="14"/>
  <c r="I893" i="94"/>
  <c r="H95" i="14"/>
  <c r="H893" i="94"/>
  <c r="G95" i="14"/>
  <c r="G893" i="94"/>
  <c r="F95" i="14"/>
  <c r="F893" i="94"/>
  <c r="E95" i="14"/>
  <c r="E893" i="94"/>
  <c r="D95" i="14"/>
  <c r="L94" i="14"/>
  <c r="L880" i="94"/>
  <c r="K94" i="14"/>
  <c r="K880" i="94"/>
  <c r="J94" i="14"/>
  <c r="J880" i="94"/>
  <c r="I94" i="14"/>
  <c r="I880" i="94"/>
  <c r="H94" i="14"/>
  <c r="H880" i="94"/>
  <c r="G94" i="14"/>
  <c r="G880" i="94"/>
  <c r="F94" i="14"/>
  <c r="F880" i="94"/>
  <c r="E94" i="14"/>
  <c r="D94" i="14"/>
  <c r="D880" i="94"/>
  <c r="L93" i="14"/>
  <c r="L867" i="94"/>
  <c r="K93" i="14"/>
  <c r="K867" i="94"/>
  <c r="J93" i="14"/>
  <c r="J867" i="94"/>
  <c r="I93" i="14"/>
  <c r="I867" i="94"/>
  <c r="H93" i="14"/>
  <c r="H867" i="94"/>
  <c r="G93" i="14"/>
  <c r="G867" i="94"/>
  <c r="F93" i="14"/>
  <c r="F867" i="94"/>
  <c r="E93" i="14"/>
  <c r="E867" i="94"/>
  <c r="D93" i="14"/>
  <c r="D867" i="94"/>
  <c r="L88" i="14"/>
  <c r="L826" i="94"/>
  <c r="K88" i="14"/>
  <c r="K826" i="94"/>
  <c r="J88" i="14"/>
  <c r="J826" i="94"/>
  <c r="I88" i="14"/>
  <c r="I826" i="94"/>
  <c r="H88" i="14"/>
  <c r="H826" i="94"/>
  <c r="G88" i="14"/>
  <c r="G826" i="94"/>
  <c r="F88" i="14"/>
  <c r="E88" i="14"/>
  <c r="E826" i="94"/>
  <c r="D88" i="14"/>
  <c r="L87" i="14"/>
  <c r="L813" i="94"/>
  <c r="K87" i="14"/>
  <c r="K813" i="94"/>
  <c r="J87" i="14"/>
  <c r="J813" i="94"/>
  <c r="I87" i="14"/>
  <c r="I813" i="94"/>
  <c r="H87" i="14"/>
  <c r="H813" i="94"/>
  <c r="G87" i="14"/>
  <c r="G813" i="94"/>
  <c r="F87" i="14"/>
  <c r="E87" i="14"/>
  <c r="E813" i="94"/>
  <c r="D87" i="14"/>
  <c r="D813" i="94"/>
  <c r="L83" i="14"/>
  <c r="L785" i="94"/>
  <c r="K83" i="14"/>
  <c r="K785" i="94"/>
  <c r="J83" i="14"/>
  <c r="J785" i="94"/>
  <c r="I83" i="14"/>
  <c r="I785" i="94"/>
  <c r="H83" i="14"/>
  <c r="H785" i="94"/>
  <c r="G83" i="14"/>
  <c r="G785" i="94"/>
  <c r="F83" i="14"/>
  <c r="E83" i="14"/>
  <c r="E785" i="94"/>
  <c r="D83" i="14"/>
  <c r="D785" i="94"/>
  <c r="L82" i="14"/>
  <c r="L772" i="94"/>
  <c r="K82" i="14"/>
  <c r="K772" i="94"/>
  <c r="J82" i="14"/>
  <c r="J772" i="94"/>
  <c r="I82" i="14"/>
  <c r="H82" i="14"/>
  <c r="H772" i="94"/>
  <c r="G82" i="14"/>
  <c r="G772" i="94"/>
  <c r="F82" i="14"/>
  <c r="F772" i="94"/>
  <c r="E82" i="14"/>
  <c r="E772" i="94"/>
  <c r="D82" i="14"/>
  <c r="D772" i="94"/>
  <c r="L81" i="14"/>
  <c r="L759" i="94"/>
  <c r="K81" i="14"/>
  <c r="J81" i="14"/>
  <c r="J759" i="94"/>
  <c r="I81" i="14"/>
  <c r="I759" i="94"/>
  <c r="H81" i="14"/>
  <c r="H759" i="94"/>
  <c r="G81" i="14"/>
  <c r="G759" i="94"/>
  <c r="F81" i="14"/>
  <c r="F759" i="94"/>
  <c r="E81" i="14"/>
  <c r="E759" i="94"/>
  <c r="D81" i="14"/>
  <c r="D759" i="94"/>
  <c r="L80" i="14"/>
  <c r="L746" i="94"/>
  <c r="K80" i="14"/>
  <c r="K746" i="94"/>
  <c r="J80" i="14"/>
  <c r="J746" i="94"/>
  <c r="I80" i="14"/>
  <c r="I746" i="94"/>
  <c r="H80" i="14"/>
  <c r="H746" i="94"/>
  <c r="G80" i="14"/>
  <c r="F80" i="14"/>
  <c r="F746" i="94"/>
  <c r="E80" i="14"/>
  <c r="E746" i="94"/>
  <c r="D80" i="14"/>
  <c r="D746" i="94"/>
  <c r="L76" i="14"/>
  <c r="L718" i="94"/>
  <c r="K76" i="14"/>
  <c r="K718" i="94"/>
  <c r="J76" i="14"/>
  <c r="J718" i="94"/>
  <c r="I76" i="14"/>
  <c r="I718" i="94"/>
  <c r="H76" i="14"/>
  <c r="G76" i="14"/>
  <c r="G718" i="94"/>
  <c r="F76" i="14"/>
  <c r="F718" i="94"/>
  <c r="E76" i="14"/>
  <c r="E718" i="94"/>
  <c r="D76" i="14"/>
  <c r="D718" i="94"/>
  <c r="L75" i="14"/>
  <c r="L705" i="94"/>
  <c r="K75" i="14"/>
  <c r="K705" i="94"/>
  <c r="J75" i="14"/>
  <c r="J705" i="94"/>
  <c r="I75" i="14"/>
  <c r="H75" i="14"/>
  <c r="H705" i="94"/>
  <c r="G75" i="14"/>
  <c r="G705" i="94"/>
  <c r="F75" i="14"/>
  <c r="E75" i="14"/>
  <c r="E705" i="94"/>
  <c r="D75" i="14"/>
  <c r="D705" i="94"/>
  <c r="L74" i="14"/>
  <c r="L692" i="94"/>
  <c r="K74" i="14"/>
  <c r="K692" i="94"/>
  <c r="J74" i="14"/>
  <c r="J692" i="94"/>
  <c r="I74" i="14"/>
  <c r="I692" i="94"/>
  <c r="H74" i="14"/>
  <c r="H692" i="94"/>
  <c r="G74" i="14"/>
  <c r="G692" i="94"/>
  <c r="F74" i="14"/>
  <c r="F692" i="94"/>
  <c r="E74" i="14"/>
  <c r="E692" i="94"/>
  <c r="D74" i="14"/>
  <c r="D692" i="94"/>
  <c r="L73" i="14"/>
  <c r="L679" i="94"/>
  <c r="K73" i="14"/>
  <c r="K679" i="94"/>
  <c r="J73" i="14"/>
  <c r="J679" i="94"/>
  <c r="I73" i="14"/>
  <c r="I679" i="94"/>
  <c r="H73" i="14"/>
  <c r="H679" i="94"/>
  <c r="G73" i="14"/>
  <c r="G679" i="94"/>
  <c r="F73" i="14"/>
  <c r="F679" i="94"/>
  <c r="E73" i="14"/>
  <c r="D73" i="14"/>
  <c r="L72" i="14"/>
  <c r="L666" i="94"/>
  <c r="K72" i="14"/>
  <c r="K666" i="94"/>
  <c r="J72" i="14"/>
  <c r="J666" i="94"/>
  <c r="I72" i="14"/>
  <c r="I666" i="94"/>
  <c r="H72" i="14"/>
  <c r="H666" i="94"/>
  <c r="G72" i="14"/>
  <c r="G666" i="94"/>
  <c r="F72" i="14"/>
  <c r="F666" i="94"/>
  <c r="E72" i="14"/>
  <c r="E666" i="94"/>
  <c r="D72" i="14"/>
  <c r="D666" i="94"/>
  <c r="L71" i="14"/>
  <c r="L653" i="94"/>
  <c r="K71" i="14"/>
  <c r="K653" i="94"/>
  <c r="J71" i="14"/>
  <c r="J653" i="94"/>
  <c r="I71" i="14"/>
  <c r="I653" i="94"/>
  <c r="H71" i="14"/>
  <c r="G71" i="14"/>
  <c r="G653" i="94"/>
  <c r="F71" i="14"/>
  <c r="E71" i="14"/>
  <c r="E653" i="94"/>
  <c r="D71" i="14"/>
  <c r="D653" i="94"/>
  <c r="L70" i="14"/>
  <c r="L640" i="94"/>
  <c r="K70" i="14"/>
  <c r="K640" i="94"/>
  <c r="J70" i="14"/>
  <c r="J640" i="94"/>
  <c r="I70" i="14"/>
  <c r="I640" i="94"/>
  <c r="H70" i="14"/>
  <c r="H640" i="94"/>
  <c r="G70" i="14"/>
  <c r="G640" i="94"/>
  <c r="F70" i="14"/>
  <c r="F640" i="94"/>
  <c r="E70" i="14"/>
  <c r="E640" i="94"/>
  <c r="D70" i="14"/>
  <c r="D640" i="94"/>
  <c r="L69" i="14"/>
  <c r="L627" i="94"/>
  <c r="K69" i="14"/>
  <c r="K627" i="94"/>
  <c r="J69" i="14"/>
  <c r="J627" i="94"/>
  <c r="I69" i="14"/>
  <c r="I627" i="94"/>
  <c r="H69" i="14"/>
  <c r="H627" i="94"/>
  <c r="G69" i="14"/>
  <c r="G627" i="94"/>
  <c r="F69" i="14"/>
  <c r="F627" i="94"/>
  <c r="E69" i="14"/>
  <c r="E627" i="94"/>
  <c r="D69" i="14"/>
  <c r="D627" i="94"/>
  <c r="L68" i="14"/>
  <c r="L614" i="94"/>
  <c r="K68" i="14"/>
  <c r="K614" i="94"/>
  <c r="J68" i="14"/>
  <c r="J614" i="94"/>
  <c r="I68" i="14"/>
  <c r="I614" i="94"/>
  <c r="H68" i="14"/>
  <c r="H614" i="94"/>
  <c r="G68" i="14"/>
  <c r="F68" i="14"/>
  <c r="E68" i="14"/>
  <c r="E614" i="94"/>
  <c r="D68" i="14"/>
  <c r="D614" i="94"/>
  <c r="L67" i="14"/>
  <c r="L601" i="94"/>
  <c r="K67" i="14"/>
  <c r="K601" i="94"/>
  <c r="J67" i="14"/>
  <c r="J601" i="94"/>
  <c r="I67" i="14"/>
  <c r="I601" i="94"/>
  <c r="H67" i="14"/>
  <c r="H601" i="94"/>
  <c r="G67" i="14"/>
  <c r="G601" i="94"/>
  <c r="F67" i="14"/>
  <c r="F601" i="94"/>
  <c r="E67" i="14"/>
  <c r="E601" i="94"/>
  <c r="D67" i="14"/>
  <c r="D601" i="94"/>
  <c r="L66" i="14"/>
  <c r="L588" i="94"/>
  <c r="K66" i="14"/>
  <c r="J66" i="14"/>
  <c r="J588" i="94"/>
  <c r="I66" i="14"/>
  <c r="I588" i="94"/>
  <c r="H66" i="14"/>
  <c r="H588" i="94"/>
  <c r="G66" i="14"/>
  <c r="G588" i="94"/>
  <c r="F66" i="14"/>
  <c r="E66" i="14"/>
  <c r="E588" i="94"/>
  <c r="D66" i="14"/>
  <c r="O66" i="14"/>
  <c r="L65" i="14"/>
  <c r="L575" i="94"/>
  <c r="K65" i="14"/>
  <c r="K575" i="94"/>
  <c r="F53" i="94"/>
  <c r="F39" i="94"/>
  <c r="F18" i="94"/>
  <c r="L89" i="32"/>
  <c r="L837" i="94"/>
  <c r="K89" i="37"/>
  <c r="K841" i="94"/>
  <c r="D29" i="26"/>
  <c r="D43" i="26"/>
  <c r="D58" i="26"/>
  <c r="D50" i="31"/>
  <c r="D11" i="36"/>
  <c r="D23" i="36"/>
  <c r="D37" i="36"/>
  <c r="D32" i="41"/>
  <c r="D58" i="51"/>
  <c r="D64" i="51"/>
  <c r="D45" i="21"/>
  <c r="D60" i="21"/>
  <c r="D48" i="26"/>
  <c r="D47" i="31"/>
  <c r="D26" i="36"/>
  <c r="E76" i="36"/>
  <c r="D33" i="41"/>
  <c r="D49" i="41"/>
  <c r="D32" i="51"/>
  <c r="D36" i="51"/>
  <c r="D52" i="21"/>
  <c r="D33" i="26"/>
  <c r="D37" i="26"/>
  <c r="D43" i="36"/>
  <c r="D73" i="36"/>
  <c r="D50" i="41"/>
  <c r="D23" i="51"/>
  <c r="D37" i="51"/>
  <c r="D45" i="51"/>
  <c r="D43" i="21"/>
  <c r="D58" i="21"/>
  <c r="D42" i="26"/>
  <c r="D32" i="36"/>
  <c r="D59" i="36"/>
  <c r="D29" i="41"/>
  <c r="D26" i="51"/>
  <c r="E76" i="51"/>
  <c r="D42" i="51"/>
  <c r="D50" i="51"/>
  <c r="D52" i="51"/>
  <c r="D14" i="46"/>
  <c r="D49" i="46"/>
  <c r="D60" i="46"/>
  <c r="D34" i="46"/>
  <c r="D50" i="46"/>
  <c r="D50" i="2"/>
  <c r="D64" i="2"/>
  <c r="D49" i="2"/>
  <c r="M44" i="94"/>
  <c r="S12" i="74"/>
  <c r="V14" i="73"/>
  <c r="Q13" i="74"/>
  <c r="T16" i="73"/>
  <c r="V18" i="73"/>
  <c r="R13" i="74"/>
  <c r="S13" i="74"/>
  <c r="V16" i="73"/>
  <c r="Q14" i="74"/>
  <c r="T18" i="73"/>
  <c r="U15" i="73"/>
  <c r="U13" i="73"/>
  <c r="S19" i="74"/>
  <c r="V12" i="73"/>
  <c r="M37" i="94"/>
  <c r="M47" i="94"/>
  <c r="M40" i="94"/>
  <c r="M38" i="94"/>
  <c r="M43" i="94"/>
  <c r="M45" i="94"/>
  <c r="M39" i="94"/>
  <c r="J65" i="14"/>
  <c r="I65" i="14"/>
  <c r="I575" i="94"/>
  <c r="H65" i="14"/>
  <c r="H575" i="94"/>
  <c r="G65" i="14"/>
  <c r="G575" i="94"/>
  <c r="F65" i="14"/>
  <c r="E65" i="14"/>
  <c r="E575" i="94"/>
  <c r="D65" i="14"/>
  <c r="L61" i="14"/>
  <c r="L535" i="94"/>
  <c r="K61" i="14"/>
  <c r="K535" i="94"/>
  <c r="J61" i="14"/>
  <c r="J535" i="94"/>
  <c r="I61" i="14"/>
  <c r="H61" i="14"/>
  <c r="H535" i="94"/>
  <c r="G61" i="14"/>
  <c r="G535" i="94"/>
  <c r="F61" i="14"/>
  <c r="F535" i="94"/>
  <c r="E61" i="14"/>
  <c r="E535" i="94"/>
  <c r="D61" i="14"/>
  <c r="D535" i="94"/>
  <c r="L60" i="14"/>
  <c r="L522" i="94"/>
  <c r="K60" i="14"/>
  <c r="K522" i="94"/>
  <c r="J60" i="14"/>
  <c r="J522" i="94"/>
  <c r="I60" i="14"/>
  <c r="I522" i="94"/>
  <c r="H60" i="14"/>
  <c r="H522" i="94"/>
  <c r="G60" i="14"/>
  <c r="G522" i="94"/>
  <c r="F60" i="14"/>
  <c r="F522" i="94"/>
  <c r="E60" i="14"/>
  <c r="D60" i="14"/>
  <c r="D522" i="94"/>
  <c r="L59" i="14"/>
  <c r="L509" i="94"/>
  <c r="K59" i="14"/>
  <c r="K509" i="94"/>
  <c r="J59" i="14"/>
  <c r="J509" i="94"/>
  <c r="I59" i="14"/>
  <c r="I509" i="94"/>
  <c r="H59" i="14"/>
  <c r="H509" i="94"/>
  <c r="G59" i="14"/>
  <c r="G509" i="94"/>
  <c r="F59" i="14"/>
  <c r="E59" i="14"/>
  <c r="E509" i="94"/>
  <c r="D59" i="14"/>
  <c r="D509" i="94"/>
  <c r="L58" i="14"/>
  <c r="L496" i="94"/>
  <c r="K58" i="14"/>
  <c r="K496" i="94"/>
  <c r="J58" i="14"/>
  <c r="I58" i="14"/>
  <c r="I496" i="94"/>
  <c r="H58" i="14"/>
  <c r="H496" i="94"/>
  <c r="G58" i="14"/>
  <c r="G496" i="94"/>
  <c r="F58" i="14"/>
  <c r="E58" i="14"/>
  <c r="E496" i="94"/>
  <c r="D58" i="14"/>
  <c r="L57" i="14"/>
  <c r="L483" i="94"/>
  <c r="K57" i="14"/>
  <c r="K483" i="94"/>
  <c r="J57" i="14"/>
  <c r="J483" i="94"/>
  <c r="I57" i="14"/>
  <c r="I483" i="94"/>
  <c r="H57" i="14"/>
  <c r="G57" i="14"/>
  <c r="G483" i="94"/>
  <c r="F57" i="14"/>
  <c r="F483" i="94"/>
  <c r="E57" i="14"/>
  <c r="E483" i="94"/>
  <c r="D57" i="14"/>
  <c r="D483" i="94"/>
  <c r="L56" i="14"/>
  <c r="K56" i="14"/>
  <c r="K470" i="94"/>
  <c r="J56" i="14"/>
  <c r="J470" i="94"/>
  <c r="I56" i="14"/>
  <c r="I470" i="94"/>
  <c r="H56" i="14"/>
  <c r="H470" i="94"/>
  <c r="G56" i="14"/>
  <c r="G470" i="94"/>
  <c r="F56" i="14"/>
  <c r="F470" i="94"/>
  <c r="E56" i="14"/>
  <c r="D56" i="14"/>
  <c r="D470" i="94"/>
  <c r="L53" i="14"/>
  <c r="L455" i="94"/>
  <c r="K53" i="14"/>
  <c r="K455" i="94"/>
  <c r="J53" i="14"/>
  <c r="J455" i="94"/>
  <c r="I53" i="14"/>
  <c r="H53" i="14"/>
  <c r="G53" i="14"/>
  <c r="F53" i="14"/>
  <c r="E53" i="14"/>
  <c r="D53" i="14"/>
  <c r="D455" i="94"/>
  <c r="L50" i="14"/>
  <c r="L440" i="94"/>
  <c r="K50" i="14"/>
  <c r="K440" i="94"/>
  <c r="J50" i="14"/>
  <c r="J440" i="94"/>
  <c r="I50" i="14"/>
  <c r="I440" i="94"/>
  <c r="H50" i="14"/>
  <c r="H440" i="94"/>
  <c r="G50" i="14"/>
  <c r="G440" i="94"/>
  <c r="F50" i="14"/>
  <c r="E50" i="14"/>
  <c r="E440" i="94"/>
  <c r="D50" i="14"/>
  <c r="D440" i="94"/>
  <c r="L47" i="14"/>
  <c r="L425" i="94"/>
  <c r="K47" i="14"/>
  <c r="K425" i="94"/>
  <c r="J47" i="14"/>
  <c r="J425" i="94"/>
  <c r="I47" i="14"/>
  <c r="I425" i="94"/>
  <c r="H47" i="14"/>
  <c r="H425" i="94"/>
  <c r="G47" i="14"/>
  <c r="G425" i="94"/>
  <c r="F47" i="14"/>
  <c r="F425" i="94"/>
  <c r="E47" i="14"/>
  <c r="E425" i="94"/>
  <c r="D47" i="14"/>
  <c r="D425" i="94"/>
  <c r="L41" i="14"/>
  <c r="L383" i="94"/>
  <c r="K41" i="14"/>
  <c r="K383" i="94"/>
  <c r="J41" i="14"/>
  <c r="J383" i="94"/>
  <c r="I41" i="14"/>
  <c r="I383" i="94"/>
  <c r="H41" i="14"/>
  <c r="H383" i="94"/>
  <c r="G41" i="14"/>
  <c r="G383" i="94"/>
  <c r="F41" i="14"/>
  <c r="F383" i="94"/>
  <c r="E41" i="14"/>
  <c r="E383" i="94"/>
  <c r="D41" i="14"/>
  <c r="D383" i="94"/>
  <c r="L40" i="14"/>
  <c r="L370" i="94"/>
  <c r="K40" i="14"/>
  <c r="K370" i="94"/>
  <c r="J40" i="14"/>
  <c r="J370" i="94"/>
  <c r="I40" i="14"/>
  <c r="H40" i="14"/>
  <c r="H370" i="94"/>
  <c r="G40" i="14"/>
  <c r="G370" i="94"/>
  <c r="F40" i="14"/>
  <c r="F370" i="94"/>
  <c r="E40" i="14"/>
  <c r="E370" i="94"/>
  <c r="D40" i="14"/>
  <c r="D370" i="94"/>
  <c r="L39" i="14"/>
  <c r="L357" i="94"/>
  <c r="K39" i="14"/>
  <c r="K357" i="94"/>
  <c r="J39" i="14"/>
  <c r="J357" i="94"/>
  <c r="I39" i="14"/>
  <c r="I357" i="94"/>
  <c r="H39" i="14"/>
  <c r="H357" i="94"/>
  <c r="G39" i="14"/>
  <c r="G357" i="94"/>
  <c r="F39" i="14"/>
  <c r="F357" i="94"/>
  <c r="E39" i="14"/>
  <c r="E357" i="94"/>
  <c r="D39" i="14"/>
  <c r="L38" i="14"/>
  <c r="L344" i="94"/>
  <c r="K38" i="14"/>
  <c r="K344" i="94"/>
  <c r="J38" i="14"/>
  <c r="J344" i="94"/>
  <c r="I38" i="14"/>
  <c r="I344" i="94"/>
  <c r="H38" i="14"/>
  <c r="H344" i="94"/>
  <c r="G38" i="14"/>
  <c r="G344" i="94"/>
  <c r="F38" i="14"/>
  <c r="F344" i="94"/>
  <c r="E38" i="14"/>
  <c r="E344" i="94"/>
  <c r="D38" i="14"/>
  <c r="D344" i="94"/>
  <c r="L37" i="14"/>
  <c r="L331" i="94"/>
  <c r="K37" i="14"/>
  <c r="K331" i="94"/>
  <c r="J37" i="14"/>
  <c r="J331" i="94"/>
  <c r="I37" i="14"/>
  <c r="I331" i="94"/>
  <c r="H37" i="14"/>
  <c r="H331" i="94"/>
  <c r="G37" i="14"/>
  <c r="G331" i="94"/>
  <c r="F37" i="14"/>
  <c r="F331" i="94"/>
  <c r="E37" i="14"/>
  <c r="D37" i="14"/>
  <c r="D331" i="94"/>
  <c r="L36" i="14"/>
  <c r="L318" i="94"/>
  <c r="K36" i="14"/>
  <c r="K318" i="94"/>
  <c r="J36" i="14"/>
  <c r="J318" i="94"/>
  <c r="I36" i="14"/>
  <c r="I318" i="94"/>
  <c r="H36" i="14"/>
  <c r="H318" i="94"/>
  <c r="G36" i="14"/>
  <c r="G318" i="94"/>
  <c r="F36" i="14"/>
  <c r="F318" i="94"/>
  <c r="E36" i="14"/>
  <c r="E318" i="94"/>
  <c r="D36" i="14"/>
  <c r="L35" i="14"/>
  <c r="L305" i="94"/>
  <c r="K35" i="14"/>
  <c r="K305" i="94"/>
  <c r="J35" i="14"/>
  <c r="J305" i="94"/>
  <c r="I35" i="14"/>
  <c r="I305" i="94"/>
  <c r="H35" i="14"/>
  <c r="G35" i="14"/>
  <c r="G305" i="94"/>
  <c r="F35" i="14"/>
  <c r="F305" i="94"/>
  <c r="E35" i="14"/>
  <c r="E305" i="94"/>
  <c r="D35" i="14"/>
  <c r="L34" i="14"/>
  <c r="L292" i="94"/>
  <c r="K34" i="14"/>
  <c r="K292" i="94"/>
  <c r="J34" i="14"/>
  <c r="J292" i="94"/>
  <c r="I34" i="14"/>
  <c r="I292" i="94"/>
  <c r="H34" i="14"/>
  <c r="H292" i="94"/>
  <c r="G34" i="14"/>
  <c r="G292" i="94"/>
  <c r="F34" i="14"/>
  <c r="F292" i="94"/>
  <c r="E34" i="14"/>
  <c r="E292" i="94"/>
  <c r="D34" i="14"/>
  <c r="L33" i="14"/>
  <c r="L279" i="94"/>
  <c r="K33" i="14"/>
  <c r="K279" i="94"/>
  <c r="J33" i="14"/>
  <c r="J279" i="94"/>
  <c r="I33" i="14"/>
  <c r="I279" i="94"/>
  <c r="H33" i="14"/>
  <c r="H279" i="94"/>
  <c r="G33" i="14"/>
  <c r="G279" i="94"/>
  <c r="F33" i="14"/>
  <c r="F279" i="94"/>
  <c r="E33" i="14"/>
  <c r="E279" i="94"/>
  <c r="D33" i="14"/>
  <c r="L32" i="14"/>
  <c r="L266" i="94"/>
  <c r="K32" i="14"/>
  <c r="J32" i="14"/>
  <c r="I32" i="14"/>
  <c r="H32" i="14"/>
  <c r="H266" i="94"/>
  <c r="G32" i="14"/>
  <c r="F32" i="14"/>
  <c r="E32" i="14"/>
  <c r="D32" i="14"/>
  <c r="L28" i="14"/>
  <c r="K28" i="14"/>
  <c r="K226" i="94"/>
  <c r="J28" i="14"/>
  <c r="J226" i="94"/>
  <c r="I28" i="14"/>
  <c r="I226" i="94"/>
  <c r="H28" i="14"/>
  <c r="H226" i="94"/>
  <c r="G28" i="14"/>
  <c r="G226" i="94"/>
  <c r="F28" i="14"/>
  <c r="E28" i="14"/>
  <c r="E226" i="94"/>
  <c r="D28" i="14"/>
  <c r="D226" i="94"/>
  <c r="L27" i="14"/>
  <c r="L213" i="94"/>
  <c r="K27" i="14"/>
  <c r="K213" i="94"/>
  <c r="J27" i="14"/>
  <c r="J213" i="94"/>
  <c r="I27" i="14"/>
  <c r="I213" i="94"/>
  <c r="H27" i="14"/>
  <c r="H213" i="94"/>
  <c r="G27" i="14"/>
  <c r="G213" i="94"/>
  <c r="F27" i="14"/>
  <c r="F213" i="94"/>
  <c r="E27" i="14"/>
  <c r="E213" i="94"/>
  <c r="D27" i="14"/>
  <c r="L26" i="14"/>
  <c r="L200" i="94"/>
  <c r="K26" i="14"/>
  <c r="K200" i="94"/>
  <c r="J26" i="14"/>
  <c r="J200" i="94"/>
  <c r="I26" i="14"/>
  <c r="I200" i="94"/>
  <c r="H26" i="14"/>
  <c r="H200" i="94"/>
  <c r="G26" i="14"/>
  <c r="G200" i="94"/>
  <c r="F26" i="14"/>
  <c r="F200" i="94"/>
  <c r="E26" i="14"/>
  <c r="L25" i="14"/>
  <c r="L187" i="94"/>
  <c r="K25" i="14"/>
  <c r="K187" i="94"/>
  <c r="J25" i="14"/>
  <c r="J187" i="94"/>
  <c r="I25" i="14"/>
  <c r="I187" i="94"/>
  <c r="H25" i="14"/>
  <c r="G25" i="14"/>
  <c r="G187" i="94"/>
  <c r="F25" i="14"/>
  <c r="E25" i="14"/>
  <c r="E187" i="94"/>
  <c r="D25" i="14"/>
  <c r="D187" i="94"/>
  <c r="L24" i="14"/>
  <c r="L174" i="94"/>
  <c r="K24" i="14"/>
  <c r="K174" i="94"/>
  <c r="J24" i="14"/>
  <c r="J174" i="94"/>
  <c r="I24" i="14"/>
  <c r="I174" i="94"/>
  <c r="H24" i="14"/>
  <c r="H174" i="94"/>
  <c r="G24" i="14"/>
  <c r="G174" i="94"/>
  <c r="F24" i="14"/>
  <c r="F174" i="94"/>
  <c r="E24" i="14"/>
  <c r="E174" i="94"/>
  <c r="D24" i="14"/>
  <c r="L23" i="14"/>
  <c r="K23" i="14"/>
  <c r="J23" i="14"/>
  <c r="I23" i="14"/>
  <c r="H23" i="14"/>
  <c r="G23" i="14"/>
  <c r="F23" i="14"/>
  <c r="E23" i="14"/>
  <c r="D23" i="14"/>
  <c r="L22" i="14"/>
  <c r="L148" i="94"/>
  <c r="K22" i="14"/>
  <c r="K148" i="94"/>
  <c r="J22" i="14"/>
  <c r="J148" i="94"/>
  <c r="I22" i="14"/>
  <c r="I148" i="94"/>
  <c r="H22" i="14"/>
  <c r="H148" i="94"/>
  <c r="G22" i="14"/>
  <c r="G148" i="94"/>
  <c r="F22" i="14"/>
  <c r="F148" i="94"/>
  <c r="E22" i="14"/>
  <c r="E148" i="94"/>
  <c r="D22" i="14"/>
  <c r="D148" i="94"/>
  <c r="L21" i="14"/>
  <c r="L135" i="94"/>
  <c r="K21" i="14"/>
  <c r="K135" i="94"/>
  <c r="J21" i="14"/>
  <c r="J135" i="94"/>
  <c r="I21" i="14"/>
  <c r="I135" i="94"/>
  <c r="H21" i="14"/>
  <c r="H135" i="94"/>
  <c r="G21" i="14"/>
  <c r="G135" i="94"/>
  <c r="F21" i="14"/>
  <c r="F135" i="94"/>
  <c r="E21" i="14"/>
  <c r="E135" i="94"/>
  <c r="D21" i="14"/>
  <c r="D135" i="94"/>
  <c r="L20" i="14"/>
  <c r="L122" i="94"/>
  <c r="K20" i="14"/>
  <c r="K122" i="94"/>
  <c r="J20" i="14"/>
  <c r="J122" i="94"/>
  <c r="I20" i="14"/>
  <c r="I122" i="94"/>
  <c r="H20" i="14"/>
  <c r="H122" i="94"/>
  <c r="G20" i="14"/>
  <c r="G122" i="94"/>
  <c r="F20" i="14"/>
  <c r="F122" i="94"/>
  <c r="E20" i="14"/>
  <c r="E122" i="94"/>
  <c r="D20" i="14"/>
  <c r="D122" i="94"/>
  <c r="L19" i="14"/>
  <c r="L109" i="94"/>
  <c r="K19" i="14"/>
  <c r="K109" i="94"/>
  <c r="J19" i="14"/>
  <c r="J109" i="94"/>
  <c r="I19" i="14"/>
  <c r="I109" i="94"/>
  <c r="H19" i="14"/>
  <c r="H109" i="94"/>
  <c r="G19" i="14"/>
  <c r="G109" i="94"/>
  <c r="F19" i="14"/>
  <c r="F109" i="94"/>
  <c r="E19" i="14"/>
  <c r="E109" i="94"/>
  <c r="D19" i="14"/>
  <c r="D109" i="94"/>
  <c r="L14" i="14"/>
  <c r="L68" i="94"/>
  <c r="K14" i="14"/>
  <c r="K68" i="94"/>
  <c r="J14" i="14"/>
  <c r="J68" i="94"/>
  <c r="I14" i="14"/>
  <c r="I68" i="94"/>
  <c r="H14" i="14"/>
  <c r="H68" i="94"/>
  <c r="G14" i="14"/>
  <c r="G68" i="94"/>
  <c r="F14" i="14"/>
  <c r="E14" i="14"/>
  <c r="E68" i="94"/>
  <c r="D14" i="14"/>
  <c r="D68" i="94"/>
  <c r="L13" i="14"/>
  <c r="L55" i="94"/>
  <c r="K13" i="14"/>
  <c r="K55" i="94"/>
  <c r="J13" i="14"/>
  <c r="J55" i="94"/>
  <c r="I13" i="14"/>
  <c r="I55" i="94"/>
  <c r="H13" i="14"/>
  <c r="H55" i="94"/>
  <c r="G13" i="14"/>
  <c r="G55" i="94"/>
  <c r="F13" i="14"/>
  <c r="F55" i="94"/>
  <c r="E13" i="14"/>
  <c r="E55" i="94"/>
  <c r="D13" i="14"/>
  <c r="D55" i="94"/>
  <c r="D42" i="94"/>
  <c r="L42" i="94"/>
  <c r="K42" i="94"/>
  <c r="J42" i="94"/>
  <c r="I42" i="94"/>
  <c r="H42" i="94"/>
  <c r="G42" i="94"/>
  <c r="F42" i="94"/>
  <c r="E42" i="94"/>
  <c r="L11" i="14"/>
  <c r="K11" i="14"/>
  <c r="J11" i="14"/>
  <c r="J29" i="94"/>
  <c r="I11" i="14"/>
  <c r="I29" i="94"/>
  <c r="H11" i="14"/>
  <c r="H29" i="94"/>
  <c r="G11" i="14"/>
  <c r="G29" i="94"/>
  <c r="F11" i="14"/>
  <c r="E11" i="14"/>
  <c r="E29" i="94"/>
  <c r="D11" i="14"/>
  <c r="D29" i="94"/>
  <c r="L10" i="14"/>
  <c r="L16" i="94"/>
  <c r="K10" i="14"/>
  <c r="K16" i="94"/>
  <c r="J10" i="14"/>
  <c r="I10" i="14"/>
  <c r="I16" i="94"/>
  <c r="H10" i="14"/>
  <c r="H16" i="94"/>
  <c r="G10" i="14"/>
  <c r="G16" i="94"/>
  <c r="F10" i="14"/>
  <c r="D10" i="2"/>
  <c r="E10" i="14"/>
  <c r="D10" i="14"/>
  <c r="D16" i="94"/>
  <c r="X74" i="14"/>
  <c r="X73" i="14"/>
  <c r="X72" i="14"/>
  <c r="X71" i="14"/>
  <c r="X70" i="14"/>
  <c r="X69" i="14"/>
  <c r="X68" i="14"/>
  <c r="X67" i="14"/>
  <c r="X66" i="14"/>
  <c r="X65" i="14"/>
  <c r="R103" i="14"/>
  <c r="P103" i="14"/>
  <c r="S87" i="14"/>
  <c r="L121" i="14"/>
  <c r="S84" i="14"/>
  <c r="S77" i="14"/>
  <c r="S76" i="14"/>
  <c r="P74" i="14"/>
  <c r="R73" i="14"/>
  <c r="Q73" i="14"/>
  <c r="P73" i="14"/>
  <c r="R72" i="14"/>
  <c r="Q72" i="14"/>
  <c r="P72" i="14"/>
  <c r="R71" i="14"/>
  <c r="Q71" i="14"/>
  <c r="P71" i="14"/>
  <c r="R70" i="14"/>
  <c r="Q70" i="14"/>
  <c r="P70" i="14"/>
  <c r="R69" i="14"/>
  <c r="Q69" i="14"/>
  <c r="P69" i="14"/>
  <c r="R68" i="14"/>
  <c r="Q68" i="14"/>
  <c r="P68" i="14"/>
  <c r="E9" i="95"/>
  <c r="R67" i="14"/>
  <c r="Q67" i="14"/>
  <c r="P67" i="14"/>
  <c r="R66" i="14"/>
  <c r="Q66" i="14"/>
  <c r="P66" i="14"/>
  <c r="R65" i="14"/>
  <c r="Q65" i="14"/>
  <c r="P65" i="14"/>
  <c r="R34" i="14"/>
  <c r="L114" i="14"/>
  <c r="Q32" i="14"/>
  <c r="L113" i="14"/>
  <c r="B21" i="53"/>
  <c r="B21" i="48"/>
  <c r="B21" i="43"/>
  <c r="B21" i="23"/>
  <c r="B17" i="38"/>
  <c r="B17" i="48"/>
  <c r="V103" i="14"/>
  <c r="A18" i="70"/>
  <c r="A5" i="65"/>
  <c r="A3" i="65"/>
  <c r="A2" i="65"/>
  <c r="B1" i="53"/>
  <c r="B1" i="48"/>
  <c r="B1" i="43"/>
  <c r="B1" i="38"/>
  <c r="B1" i="33"/>
  <c r="B1" i="28"/>
  <c r="B1" i="23"/>
  <c r="B1" i="18"/>
  <c r="B1" i="6"/>
  <c r="B1" i="58"/>
  <c r="B2" i="58"/>
  <c r="B2" i="6"/>
  <c r="B3" i="18"/>
  <c r="B3" i="23"/>
  <c r="B3" i="28"/>
  <c r="B3" i="33"/>
  <c r="B3" i="38"/>
  <c r="B3" i="43"/>
  <c r="B3" i="48"/>
  <c r="B3" i="53"/>
  <c r="B2" i="18"/>
  <c r="B2" i="23"/>
  <c r="B2" i="28"/>
  <c r="B2" i="33"/>
  <c r="B2" i="38"/>
  <c r="B2" i="43"/>
  <c r="B2" i="48"/>
  <c r="B2" i="53"/>
  <c r="A1" i="51"/>
  <c r="G2" i="51"/>
  <c r="A1" i="46"/>
  <c r="G2" i="46"/>
  <c r="A1" i="41"/>
  <c r="G2" i="41"/>
  <c r="A1" i="36"/>
  <c r="G2" i="36"/>
  <c r="A1" i="31"/>
  <c r="G2" i="31"/>
  <c r="A1" i="26"/>
  <c r="G2" i="26"/>
  <c r="A1" i="21"/>
  <c r="G2" i="21"/>
  <c r="A1" i="16"/>
  <c r="G2" i="16"/>
  <c r="A3" i="15"/>
  <c r="A3" i="20"/>
  <c r="A3" i="25"/>
  <c r="A3" i="30"/>
  <c r="A3" i="35"/>
  <c r="A3" i="40"/>
  <c r="A3" i="45"/>
  <c r="A3" i="50"/>
  <c r="A3" i="1"/>
  <c r="B3" i="6"/>
  <c r="A2" i="15"/>
  <c r="A2" i="20"/>
  <c r="A2" i="25"/>
  <c r="A2" i="30"/>
  <c r="A2" i="35"/>
  <c r="A2" i="40"/>
  <c r="A2" i="45"/>
  <c r="A2" i="50"/>
  <c r="A2" i="1"/>
  <c r="I2" i="14"/>
  <c r="B2" i="17"/>
  <c r="P13" i="17"/>
  <c r="B2" i="22"/>
  <c r="B914" i="94"/>
  <c r="B2" i="27"/>
  <c r="B701" i="94"/>
  <c r="B2" i="32"/>
  <c r="B481" i="94"/>
  <c r="B2" i="37"/>
  <c r="B2" i="42"/>
  <c r="B2" i="47"/>
  <c r="B736" i="94"/>
  <c r="B2" i="62"/>
  <c r="B954" i="94"/>
  <c r="B4" i="62"/>
  <c r="B3" i="62"/>
  <c r="B4" i="47"/>
  <c r="B3" i="47"/>
  <c r="B4" i="42"/>
  <c r="B3" i="42"/>
  <c r="B4" i="37"/>
  <c r="B3" i="37"/>
  <c r="B4" i="32"/>
  <c r="B3" i="32"/>
  <c r="B4" i="27"/>
  <c r="B3" i="27"/>
  <c r="B4" i="22"/>
  <c r="B3" i="22"/>
  <c r="B4" i="17"/>
  <c r="B3" i="17"/>
  <c r="B4" i="14"/>
  <c r="B3" i="14"/>
  <c r="M7" i="14"/>
  <c r="M7" i="17"/>
  <c r="M7" i="22"/>
  <c r="M7" i="27"/>
  <c r="M7" i="32"/>
  <c r="M7" i="37"/>
  <c r="M7" i="42"/>
  <c r="M7" i="47"/>
  <c r="M7" i="62"/>
  <c r="B6" i="14"/>
  <c r="B6" i="17"/>
  <c r="B6" i="22"/>
  <c r="B6" i="27"/>
  <c r="B6" i="32"/>
  <c r="B6" i="37"/>
  <c r="B6" i="42"/>
  <c r="B6" i="47"/>
  <c r="B6" i="62"/>
  <c r="A1" i="57"/>
  <c r="A5" i="57"/>
  <c r="A3" i="57"/>
  <c r="A2" i="57"/>
  <c r="A109" i="57"/>
  <c r="A3" i="16"/>
  <c r="A3" i="21"/>
  <c r="A3" i="26"/>
  <c r="A3" i="31"/>
  <c r="A3" i="36"/>
  <c r="A3" i="41"/>
  <c r="A3" i="46"/>
  <c r="A3" i="51"/>
  <c r="A3" i="2"/>
  <c r="A2" i="16"/>
  <c r="A2" i="21"/>
  <c r="A2" i="26"/>
  <c r="A2" i="31"/>
  <c r="A2" i="36"/>
  <c r="A2" i="41"/>
  <c r="A2" i="46"/>
  <c r="A2" i="51"/>
  <c r="A2" i="2"/>
  <c r="A5" i="16"/>
  <c r="A5" i="21"/>
  <c r="A5" i="26"/>
  <c r="A5" i="31"/>
  <c r="A5" i="36"/>
  <c r="A5" i="41"/>
  <c r="A5" i="46"/>
  <c r="A5" i="51"/>
  <c r="A5" i="2"/>
  <c r="P13" i="62"/>
  <c r="B842" i="94"/>
  <c r="B816" i="94"/>
  <c r="B788" i="94"/>
  <c r="B762" i="94"/>
  <c r="B656" i="94"/>
  <c r="B604" i="94"/>
  <c r="B525" i="94"/>
  <c r="B443" i="94"/>
  <c r="B386" i="94"/>
  <c r="B334" i="94"/>
  <c r="B308" i="94"/>
  <c r="B749" i="94"/>
  <c r="B373" i="94"/>
  <c r="B617" i="94"/>
  <c r="B399" i="94"/>
  <c r="B177" i="94"/>
  <c r="B151" i="94"/>
  <c r="B125" i="94"/>
  <c r="B428" i="94"/>
  <c r="B347" i="94"/>
  <c r="B269" i="94"/>
  <c r="B564" i="94"/>
  <c r="B112" i="94"/>
  <c r="B458" i="94"/>
  <c r="B721" i="94"/>
  <c r="B190" i="94"/>
  <c r="B84" i="94"/>
  <c r="B775" i="94"/>
  <c r="B242" i="94"/>
  <c r="B883" i="94"/>
  <c r="P13" i="42"/>
  <c r="B965" i="94"/>
  <c r="B933" i="94"/>
  <c r="B907" i="94"/>
  <c r="B881" i="94"/>
  <c r="B854" i="94"/>
  <c r="B827" i="94"/>
  <c r="B799" i="94"/>
  <c r="B773" i="94"/>
  <c r="B747" i="94"/>
  <c r="B719" i="94"/>
  <c r="B693" i="94"/>
  <c r="B667" i="94"/>
  <c r="B641" i="94"/>
  <c r="B615" i="94"/>
  <c r="B589" i="94"/>
  <c r="B562" i="94"/>
  <c r="B536" i="94"/>
  <c r="B510" i="94"/>
  <c r="B484" i="94"/>
  <c r="B456" i="94"/>
  <c r="B426" i="94"/>
  <c r="B397" i="94"/>
  <c r="B952" i="94"/>
  <c r="B732" i="94"/>
  <c r="B523" i="94"/>
  <c r="B319" i="94"/>
  <c r="B306" i="94"/>
  <c r="B254" i="94"/>
  <c r="B786" i="94"/>
  <c r="B576" i="94"/>
  <c r="B293" i="94"/>
  <c r="B814" i="94"/>
  <c r="B602" i="94"/>
  <c r="B384" i="94"/>
  <c r="B280" i="94"/>
  <c r="B240" i="94"/>
  <c r="B840" i="94"/>
  <c r="B628" i="94"/>
  <c r="B411" i="94"/>
  <c r="B371" i="94"/>
  <c r="B358" i="94"/>
  <c r="A13" i="57"/>
  <c r="B760" i="94"/>
  <c r="B214" i="94"/>
  <c r="B162" i="94"/>
  <c r="B110" i="94"/>
  <c r="B56" i="94"/>
  <c r="B868" i="94"/>
  <c r="B441" i="94"/>
  <c r="B227" i="94"/>
  <c r="B175" i="94"/>
  <c r="B123" i="94"/>
  <c r="B69" i="94"/>
  <c r="B17" i="94"/>
  <c r="B894" i="94"/>
  <c r="B471" i="94"/>
  <c r="B332" i="94"/>
  <c r="B267" i="94"/>
  <c r="B201" i="94"/>
  <c r="B680" i="94"/>
  <c r="B345" i="94"/>
  <c r="B706" i="94"/>
  <c r="B497" i="94"/>
  <c r="B97" i="94"/>
  <c r="B43" i="94"/>
  <c r="B549" i="94"/>
  <c r="B188" i="94"/>
  <c r="B136" i="94"/>
  <c r="B82" i="94"/>
  <c r="B30" i="94"/>
  <c r="B920" i="94"/>
  <c r="B654" i="94"/>
  <c r="B149" i="94"/>
  <c r="L122" i="42"/>
  <c r="B702" i="94"/>
  <c r="B877" i="94"/>
  <c r="B769" i="94"/>
  <c r="B158" i="94"/>
  <c r="B367" i="94"/>
  <c r="P13" i="47"/>
  <c r="B956" i="94"/>
  <c r="B924" i="94"/>
  <c r="B844" i="94"/>
  <c r="B632" i="94"/>
  <c r="B580" i="94"/>
  <c r="B527" i="94"/>
  <c r="B501" i="94"/>
  <c r="B803" i="94"/>
  <c r="B284" i="94"/>
  <c r="B349" i="94"/>
  <c r="B885" i="94"/>
  <c r="B460" i="94"/>
  <c r="B323" i="94"/>
  <c r="B937" i="94"/>
  <c r="B179" i="94"/>
  <c r="B86" i="94"/>
  <c r="B34" i="94"/>
  <c r="B114" i="94"/>
  <c r="B244" i="94"/>
  <c r="B258" i="94"/>
  <c r="B401" i="94"/>
  <c r="B47" i="94"/>
  <c r="P13" i="37"/>
  <c r="B442" i="94"/>
  <c r="B359" i="94"/>
  <c r="B202" i="94"/>
  <c r="B176" i="94"/>
  <c r="B427" i="94"/>
  <c r="B824" i="94"/>
  <c r="B290" i="94"/>
  <c r="B865" i="94"/>
  <c r="B729" i="94"/>
  <c r="B520" i="94"/>
  <c r="B599" i="94"/>
  <c r="B623" i="94"/>
  <c r="B406" i="94"/>
  <c r="B196" i="94"/>
  <c r="B170" i="94"/>
  <c r="B144" i="94"/>
  <c r="B714" i="94"/>
  <c r="B531" i="94"/>
  <c r="A8" i="57"/>
  <c r="B649" i="94"/>
  <c r="B781" i="94"/>
  <c r="B584" i="94"/>
  <c r="B209" i="94"/>
  <c r="B77" i="94"/>
  <c r="B353" i="94"/>
  <c r="B544" i="94"/>
  <c r="B183" i="94"/>
  <c r="B726" i="94"/>
  <c r="B517" i="94"/>
  <c r="B63" i="94"/>
  <c r="B11" i="94"/>
  <c r="B420" i="94"/>
  <c r="B530" i="94"/>
  <c r="I2" i="62"/>
  <c r="I2" i="42"/>
  <c r="M42" i="94"/>
  <c r="B113" i="57"/>
  <c r="O36" i="65"/>
  <c r="O33" i="65"/>
  <c r="O30" i="65"/>
  <c r="R4" i="65"/>
  <c r="N4" i="65"/>
  <c r="D4" i="65"/>
  <c r="M15" i="65"/>
  <c r="M16" i="65"/>
  <c r="M30" i="65"/>
  <c r="M33" i="65"/>
  <c r="M36" i="65"/>
  <c r="O60" i="65"/>
  <c r="O61" i="65"/>
  <c r="O15" i="65"/>
  <c r="O16" i="65"/>
  <c r="M61" i="65"/>
  <c r="M75" i="65"/>
  <c r="O75" i="65"/>
  <c r="J15" i="64"/>
  <c r="B15" i="64"/>
  <c r="B102" i="63"/>
  <c r="B73" i="63"/>
  <c r="B44" i="63"/>
  <c r="B89" i="63"/>
  <c r="B60" i="63"/>
  <c r="B31" i="63"/>
  <c r="B134" i="63"/>
  <c r="B120" i="63"/>
  <c r="F11" i="63"/>
  <c r="F10" i="63"/>
  <c r="B15" i="63"/>
  <c r="P126" i="63"/>
  <c r="F30" i="63"/>
  <c r="C56" i="56"/>
  <c r="C14" i="56"/>
  <c r="C13" i="56"/>
  <c r="C12" i="56"/>
  <c r="C11" i="56"/>
  <c r="C56" i="50"/>
  <c r="C14" i="50"/>
  <c r="C13" i="50"/>
  <c r="C12" i="50"/>
  <c r="C11" i="50"/>
  <c r="C56" i="45"/>
  <c r="C14" i="45"/>
  <c r="C13" i="45"/>
  <c r="C12" i="45"/>
  <c r="C11" i="45"/>
  <c r="F29" i="63"/>
  <c r="C56" i="40"/>
  <c r="C14" i="40"/>
  <c r="C13" i="40"/>
  <c r="C12" i="40"/>
  <c r="C11" i="40"/>
  <c r="F28" i="63"/>
  <c r="C56" i="35"/>
  <c r="C14" i="35"/>
  <c r="C13" i="35"/>
  <c r="C12" i="35"/>
  <c r="C11" i="35"/>
  <c r="F27" i="63"/>
  <c r="C56" i="30"/>
  <c r="C14" i="30"/>
  <c r="C13" i="30"/>
  <c r="C12" i="30"/>
  <c r="C11" i="30"/>
  <c r="F26" i="63"/>
  <c r="C56" i="25"/>
  <c r="C14" i="25"/>
  <c r="C13" i="25"/>
  <c r="C12" i="25"/>
  <c r="C11" i="25"/>
  <c r="F25" i="63"/>
  <c r="K36" i="65"/>
  <c r="C56" i="20"/>
  <c r="C14" i="20"/>
  <c r="C13" i="20"/>
  <c r="C12" i="20"/>
  <c r="C11" i="20"/>
  <c r="F24" i="63"/>
  <c r="C56" i="15"/>
  <c r="C14" i="15"/>
  <c r="C13" i="15"/>
  <c r="C12" i="15"/>
  <c r="C11" i="15"/>
  <c r="F23" i="63"/>
  <c r="C11" i="1"/>
  <c r="C12" i="1"/>
  <c r="C13" i="1"/>
  <c r="C14" i="1"/>
  <c r="C56" i="1"/>
  <c r="F22" i="63"/>
  <c r="F825" i="94"/>
  <c r="D59" i="86"/>
  <c r="D45" i="46"/>
  <c r="F15" i="47"/>
  <c r="F86" i="94"/>
  <c r="D23" i="46"/>
  <c r="E89" i="17"/>
  <c r="E836" i="94"/>
  <c r="D50" i="26"/>
  <c r="D13" i="26"/>
  <c r="U18" i="73"/>
  <c r="D11" i="51"/>
  <c r="D44" i="51"/>
  <c r="D42" i="83"/>
  <c r="O70" i="14"/>
  <c r="H62" i="62"/>
  <c r="H551" i="94"/>
  <c r="L116" i="22"/>
  <c r="F507" i="94"/>
  <c r="D36" i="36"/>
  <c r="D10" i="51"/>
  <c r="I18" i="84"/>
  <c r="I100" i="94"/>
  <c r="L15" i="32"/>
  <c r="L79" i="94"/>
  <c r="D58" i="46"/>
  <c r="F655" i="94"/>
  <c r="D15" i="32"/>
  <c r="D79" i="94"/>
  <c r="D65" i="31"/>
  <c r="D89" i="37"/>
  <c r="D841" i="94"/>
  <c r="D73" i="16"/>
  <c r="U70" i="62"/>
  <c r="D64" i="36"/>
  <c r="L116" i="32"/>
  <c r="D53" i="36"/>
  <c r="M80" i="42"/>
  <c r="P63" i="65"/>
  <c r="D58" i="91"/>
  <c r="L122" i="17"/>
  <c r="B823" i="94"/>
  <c r="B585" i="94"/>
  <c r="B743" i="94"/>
  <c r="B407" i="94"/>
  <c r="B728" i="94"/>
  <c r="I8" i="41"/>
  <c r="O12" i="101" s="1"/>
  <c r="C6" i="41"/>
  <c r="D49" i="31"/>
  <c r="D59" i="31"/>
  <c r="D53" i="31"/>
  <c r="D35" i="51"/>
  <c r="U68" i="22"/>
  <c r="S73" i="42"/>
  <c r="H18" i="62"/>
  <c r="H99" i="94" s="1"/>
  <c r="O26" i="65"/>
  <c r="O27" i="65"/>
  <c r="I8" i="86"/>
  <c r="O21" i="101" s="1"/>
  <c r="C6" i="86"/>
  <c r="B184" i="94"/>
  <c r="B961" i="94"/>
  <c r="B437" i="94"/>
  <c r="B782" i="94"/>
  <c r="I8" i="46"/>
  <c r="C6" i="46"/>
  <c r="D23" i="31"/>
  <c r="D35" i="26"/>
  <c r="D48" i="94"/>
  <c r="D984" i="94"/>
  <c r="U70" i="42"/>
  <c r="F89" i="42"/>
  <c r="F34" i="94"/>
  <c r="I8" i="91"/>
  <c r="O20" i="101" s="1"/>
  <c r="C6" i="91"/>
  <c r="B393" i="94"/>
  <c r="B405" i="94"/>
  <c r="B131" i="94"/>
  <c r="B505" i="94"/>
  <c r="B835" i="94"/>
  <c r="B851" i="94"/>
  <c r="B101" i="94"/>
  <c r="B723" i="94"/>
  <c r="B430" i="94"/>
  <c r="B710" i="94"/>
  <c r="B795" i="94"/>
  <c r="B637" i="94"/>
  <c r="B93" i="94"/>
  <c r="B328" i="94"/>
  <c r="B493" i="94"/>
  <c r="B836" i="94"/>
  <c r="B321" i="94"/>
  <c r="B58" i="94"/>
  <c r="B856" i="94"/>
  <c r="B801" i="94"/>
  <c r="B551" i="94"/>
  <c r="B870" i="94"/>
  <c r="C6" i="51"/>
  <c r="I48" i="94"/>
  <c r="I984" i="94"/>
  <c r="D64" i="41"/>
  <c r="H48" i="94"/>
  <c r="H984" i="94"/>
  <c r="B666" i="94"/>
  <c r="G2" i="2"/>
  <c r="B62" i="94"/>
  <c r="B75" i="94"/>
  <c r="B673" i="94"/>
  <c r="B39" i="94"/>
  <c r="B435" i="94"/>
  <c r="B571" i="94"/>
  <c r="B625" i="94"/>
  <c r="B205" i="94"/>
  <c r="B21" i="94"/>
  <c r="B645" i="94"/>
  <c r="B13" i="94"/>
  <c r="B236" i="94"/>
  <c r="B197" i="94"/>
  <c r="B715" i="94"/>
  <c r="B519" i="94"/>
  <c r="B864" i="94"/>
  <c r="B486" i="94"/>
  <c r="B512" i="94"/>
  <c r="B45" i="94"/>
  <c r="B295" i="94"/>
  <c r="B578" i="94"/>
  <c r="I8" i="16"/>
  <c r="O19" i="101" s="1"/>
  <c r="C6" i="16"/>
  <c r="M41" i="14"/>
  <c r="L116" i="14"/>
  <c r="B116" i="94"/>
  <c r="B181" i="94"/>
  <c r="B753" i="94"/>
  <c r="S70" i="14"/>
  <c r="B119" i="94"/>
  <c r="B611" i="94"/>
  <c r="B480" i="94"/>
  <c r="B929" i="94"/>
  <c r="B572" i="94"/>
  <c r="B916" i="94"/>
  <c r="I8" i="21"/>
  <c r="O16" i="101"/>
  <c r="C6" i="21"/>
  <c r="K29" i="62"/>
  <c r="K242" i="94" s="1"/>
  <c r="D64" i="21"/>
  <c r="H18" i="17"/>
  <c r="H93" i="94"/>
  <c r="G48" i="94"/>
  <c r="G984" i="94"/>
  <c r="L115" i="47"/>
  <c r="B142" i="94"/>
  <c r="B247" i="94"/>
  <c r="B833" i="94"/>
  <c r="I8" i="36"/>
  <c r="C6" i="36"/>
  <c r="F15" i="73" s="1"/>
  <c r="F24" i="73" s="1"/>
  <c r="O72" i="14"/>
  <c r="S72" i="14"/>
  <c r="B171" i="94"/>
  <c r="B276" i="94"/>
  <c r="B289" i="94"/>
  <c r="B354" i="94"/>
  <c r="B624" i="94"/>
  <c r="B948" i="94"/>
  <c r="I8" i="26"/>
  <c r="O11" i="101"/>
  <c r="C6" i="26"/>
  <c r="K15" i="62"/>
  <c r="K84" i="94" s="1"/>
  <c r="D23" i="41"/>
  <c r="O72" i="62"/>
  <c r="S72" i="62"/>
  <c r="F757" i="94"/>
  <c r="B608" i="94"/>
  <c r="B477" i="94"/>
  <c r="B325" i="94"/>
  <c r="B861" i="94"/>
  <c r="L116" i="92"/>
  <c r="B263" i="94"/>
  <c r="B106" i="94"/>
  <c r="B558" i="94"/>
  <c r="B452" i="94"/>
  <c r="B650" i="94"/>
  <c r="I8" i="31"/>
  <c r="O17" i="101" s="1"/>
  <c r="C6" i="31"/>
  <c r="C10" i="57"/>
  <c r="G15" i="62"/>
  <c r="G84" i="94"/>
  <c r="D52" i="36"/>
  <c r="F84" i="62"/>
  <c r="F801" i="94"/>
  <c r="F89" i="37"/>
  <c r="F841" i="94"/>
  <c r="E89" i="37"/>
  <c r="E841" i="94"/>
  <c r="F30" i="94"/>
  <c r="M88" i="62"/>
  <c r="I8" i="83"/>
  <c r="C6" i="83"/>
  <c r="B740" i="94"/>
  <c r="B686" i="94"/>
  <c r="B351" i="94"/>
  <c r="P13" i="87"/>
  <c r="F608" i="94"/>
  <c r="L116" i="87"/>
  <c r="F745" i="94"/>
  <c r="E170" i="94"/>
  <c r="E29" i="27"/>
  <c r="E235" i="94"/>
  <c r="F494" i="94"/>
  <c r="D34" i="31"/>
  <c r="P13" i="27"/>
  <c r="B275" i="94"/>
  <c r="B222" i="94"/>
  <c r="B636" i="94"/>
  <c r="B479" i="94"/>
  <c r="B64" i="94"/>
  <c r="B492" i="94"/>
  <c r="B518" i="94"/>
  <c r="B288" i="94"/>
  <c r="B51" i="94"/>
  <c r="B25" i="94"/>
  <c r="B768" i="94"/>
  <c r="B421" i="94"/>
  <c r="B262" i="94"/>
  <c r="B12" i="94"/>
  <c r="B314" i="94"/>
  <c r="B876" i="94"/>
  <c r="B597" i="94"/>
  <c r="B809" i="94"/>
  <c r="B392" i="94"/>
  <c r="B794" i="94"/>
  <c r="I2" i="27"/>
  <c r="B436" i="94"/>
  <c r="B379" i="94"/>
  <c r="B915" i="94"/>
  <c r="B849" i="94"/>
  <c r="B27" i="94"/>
  <c r="B14" i="94"/>
  <c r="B930" i="94"/>
  <c r="D14" i="26"/>
  <c r="F653" i="94"/>
  <c r="D48" i="2"/>
  <c r="Y15" i="97"/>
  <c r="T17" i="73"/>
  <c r="U71" i="14"/>
  <c r="O71" i="14"/>
  <c r="S71" i="14"/>
  <c r="D352" i="94"/>
  <c r="M39" i="22"/>
  <c r="R17" i="97"/>
  <c r="B783" i="94"/>
  <c r="B904" i="94"/>
  <c r="F12" i="94"/>
  <c r="D10" i="26"/>
  <c r="B727" i="94"/>
  <c r="D57" i="2"/>
  <c r="F787" i="94"/>
  <c r="D60" i="36"/>
  <c r="I828" i="94"/>
  <c r="I89" i="37"/>
  <c r="I841" i="94"/>
  <c r="F654" i="94"/>
  <c r="D48" i="41"/>
  <c r="M48" i="94"/>
  <c r="M984" i="94"/>
  <c r="L122" i="22"/>
  <c r="B143" i="94"/>
  <c r="B862" i="94"/>
  <c r="B662" i="94"/>
  <c r="B610" i="94"/>
  <c r="B557" i="94"/>
  <c r="B742" i="94"/>
  <c r="B928" i="94"/>
  <c r="B675" i="94"/>
  <c r="B53" i="94"/>
  <c r="B146" i="94"/>
  <c r="B507" i="94"/>
  <c r="AE11" i="100"/>
  <c r="Z11" i="97"/>
  <c r="D43" i="16"/>
  <c r="G14" i="94"/>
  <c r="G15" i="32"/>
  <c r="G79" i="94"/>
  <c r="D11" i="31"/>
  <c r="F27" i="94"/>
  <c r="AD16" i="100"/>
  <c r="Y16" i="97"/>
  <c r="T15" i="73"/>
  <c r="J321" i="94"/>
  <c r="J31" i="62"/>
  <c r="J256" i="94"/>
  <c r="H749" i="94"/>
  <c r="H84" i="62"/>
  <c r="H801" i="94"/>
  <c r="D24" i="73"/>
  <c r="B400" i="94"/>
  <c r="B936" i="94"/>
  <c r="B100" i="94"/>
  <c r="G89" i="14"/>
  <c r="G839" i="94"/>
  <c r="B741" i="94"/>
  <c r="B339" i="94"/>
  <c r="B863" i="94"/>
  <c r="B301" i="94"/>
  <c r="B755" i="94"/>
  <c r="B947" i="94"/>
  <c r="B38" i="94"/>
  <c r="B688" i="94"/>
  <c r="L122" i="32"/>
  <c r="B159" i="94"/>
  <c r="B172" i="94"/>
  <c r="B559" i="94"/>
  <c r="B922" i="94"/>
  <c r="B708" i="94"/>
  <c r="B499" i="94"/>
  <c r="B967" i="94"/>
  <c r="B829" i="94"/>
  <c r="B71" i="94"/>
  <c r="B229" i="94"/>
  <c r="B256" i="94"/>
  <c r="B164" i="94"/>
  <c r="A15" i="57"/>
  <c r="B734" i="94"/>
  <c r="B473" i="94"/>
  <c r="B538" i="94"/>
  <c r="B203" i="94"/>
  <c r="B643" i="94"/>
  <c r="B695" i="94"/>
  <c r="B32" i="94"/>
  <c r="L122" i="62"/>
  <c r="B682" i="94"/>
  <c r="B413" i="94"/>
  <c r="B591" i="94"/>
  <c r="B99" i="94"/>
  <c r="B669" i="94"/>
  <c r="B138" i="94"/>
  <c r="B216" i="94"/>
  <c r="B896" i="94"/>
  <c r="B630" i="94"/>
  <c r="B360" i="94"/>
  <c r="B282" i="94"/>
  <c r="B19" i="94"/>
  <c r="B935" i="94"/>
  <c r="B909" i="94"/>
  <c r="P4" i="65"/>
  <c r="Q16" i="74"/>
  <c r="D58" i="2"/>
  <c r="D58" i="41"/>
  <c r="D44" i="21"/>
  <c r="F650" i="94"/>
  <c r="D48" i="16"/>
  <c r="F768" i="94"/>
  <c r="D59" i="26"/>
  <c r="Z16" i="97"/>
  <c r="R16" i="74"/>
  <c r="F602" i="94"/>
  <c r="D44" i="41"/>
  <c r="G641" i="94"/>
  <c r="O70" i="42"/>
  <c r="S70" i="42"/>
  <c r="I814" i="94"/>
  <c r="I89" i="42"/>
  <c r="I840" i="94"/>
  <c r="AD18" i="100"/>
  <c r="Y18" i="97"/>
  <c r="K321" i="94"/>
  <c r="K31" i="62"/>
  <c r="K256" i="94" s="1"/>
  <c r="F630" i="94"/>
  <c r="D46" i="51"/>
  <c r="I749" i="94"/>
  <c r="I84" i="62"/>
  <c r="I801" i="94" s="1"/>
  <c r="F440" i="94"/>
  <c r="D26" i="2"/>
  <c r="E76" i="2"/>
  <c r="F475" i="94"/>
  <c r="D32" i="46"/>
  <c r="F580" i="94"/>
  <c r="D42" i="46"/>
  <c r="B494" i="94"/>
  <c r="I29" i="47"/>
  <c r="I244" i="94"/>
  <c r="D310" i="94"/>
  <c r="M35" i="47"/>
  <c r="B249" i="94"/>
  <c r="B466" i="94"/>
  <c r="B780" i="94"/>
  <c r="B450" i="94"/>
  <c r="B287" i="94"/>
  <c r="B570" i="94"/>
  <c r="B169" i="94"/>
  <c r="B104" i="94"/>
  <c r="Q11" i="74"/>
  <c r="Y11" i="97"/>
  <c r="F540" i="94"/>
  <c r="D37" i="46"/>
  <c r="D818" i="94"/>
  <c r="D89" i="47"/>
  <c r="D844" i="94"/>
  <c r="P13" i="32"/>
  <c r="B690" i="94"/>
  <c r="B342" i="94"/>
  <c r="B94" i="94"/>
  <c r="B757" i="94"/>
  <c r="B811" i="94"/>
  <c r="B770" i="94"/>
  <c r="B394" i="94"/>
  <c r="B66" i="94"/>
  <c r="B185" i="94"/>
  <c r="B837" i="94"/>
  <c r="B638" i="94"/>
  <c r="B264" i="94"/>
  <c r="B703" i="94"/>
  <c r="B107" i="94"/>
  <c r="B891" i="94"/>
  <c r="H13" i="98"/>
  <c r="H4" i="65"/>
  <c r="O68" i="47"/>
  <c r="D16" i="95"/>
  <c r="F16" i="95"/>
  <c r="B423" i="94"/>
  <c r="D42" i="2"/>
  <c r="F575" i="94"/>
  <c r="D34" i="91"/>
  <c r="F495" i="94"/>
  <c r="F587" i="94"/>
  <c r="D43" i="91"/>
  <c r="B24" i="94"/>
  <c r="B365" i="94"/>
  <c r="L122" i="27"/>
  <c r="B235" i="94"/>
  <c r="B105" i="94"/>
  <c r="B340" i="94"/>
  <c r="B960" i="94"/>
  <c r="B92" i="94"/>
  <c r="B889" i="94"/>
  <c r="B329" i="94"/>
  <c r="B546" i="94"/>
  <c r="B224" i="94"/>
  <c r="B612" i="94"/>
  <c r="U65" i="47"/>
  <c r="F710" i="94"/>
  <c r="D52" i="46"/>
  <c r="AE18" i="100"/>
  <c r="Z18" i="97"/>
  <c r="I17" i="78"/>
  <c r="L120" i="62"/>
  <c r="B17" i="53"/>
  <c r="B767" i="94"/>
  <c r="B391" i="94"/>
  <c r="B366" i="94"/>
  <c r="B822" i="94"/>
  <c r="B157" i="94"/>
  <c r="B451" i="94"/>
  <c r="B327" i="94"/>
  <c r="B118" i="94"/>
  <c r="B902" i="94"/>
  <c r="B355" i="94"/>
  <c r="B251" i="94"/>
  <c r="B651" i="94"/>
  <c r="B716" i="94"/>
  <c r="R18" i="74"/>
  <c r="Q15" i="74"/>
  <c r="M36" i="62"/>
  <c r="V19" i="100" s="1"/>
  <c r="D34" i="26"/>
  <c r="D65" i="26"/>
  <c r="F826" i="94"/>
  <c r="D65" i="2"/>
  <c r="F713" i="94"/>
  <c r="D53" i="21"/>
  <c r="U16" i="73"/>
  <c r="Z13" i="97"/>
  <c r="H366" i="94"/>
  <c r="H42" i="27"/>
  <c r="H392" i="94"/>
  <c r="F690" i="94"/>
  <c r="D73" i="31"/>
  <c r="K57" i="94"/>
  <c r="K15" i="37"/>
  <c r="K83" i="94"/>
  <c r="D137" i="94"/>
  <c r="M21" i="37"/>
  <c r="L116" i="47"/>
  <c r="Q12" i="74"/>
  <c r="Y12" i="97"/>
  <c r="E680" i="94"/>
  <c r="M73" i="42"/>
  <c r="M680" i="94"/>
  <c r="M74" i="47"/>
  <c r="B51" i="46"/>
  <c r="M118" i="63"/>
  <c r="L112" i="17"/>
  <c r="M948" i="94"/>
  <c r="D58" i="86"/>
  <c r="D61" i="86"/>
  <c r="F753" i="94"/>
  <c r="B21" i="93"/>
  <c r="L121" i="92"/>
  <c r="B790" i="94"/>
  <c r="B872" i="94"/>
  <c r="B415" i="94"/>
  <c r="B488" i="94"/>
  <c r="B310" i="94"/>
  <c r="L122" i="47"/>
  <c r="F48" i="94"/>
  <c r="F984" i="94"/>
  <c r="U72" i="42"/>
  <c r="D33" i="46"/>
  <c r="D31" i="42"/>
  <c r="D254" i="94"/>
  <c r="F572" i="94"/>
  <c r="D42" i="16"/>
  <c r="F767" i="94"/>
  <c r="D59" i="21"/>
  <c r="F438" i="94"/>
  <c r="D26" i="31"/>
  <c r="E76" i="31"/>
  <c r="F612" i="94"/>
  <c r="D45" i="31"/>
  <c r="E15" i="42"/>
  <c r="E82" i="94"/>
  <c r="E30" i="94"/>
  <c r="F693" i="94"/>
  <c r="D73" i="41"/>
  <c r="Q17" i="74"/>
  <c r="Y17" i="97"/>
  <c r="T11" i="73"/>
  <c r="M36" i="47"/>
  <c r="V18" i="100"/>
  <c r="M73" i="47"/>
  <c r="U12" i="73"/>
  <c r="Z19" i="97"/>
  <c r="F673" i="94"/>
  <c r="D50" i="86"/>
  <c r="F439" i="94"/>
  <c r="L121" i="27"/>
  <c r="B21" i="28"/>
  <c r="U70" i="47"/>
  <c r="H42" i="62"/>
  <c r="H399" i="94" s="1"/>
  <c r="AF17" i="100"/>
  <c r="AA17" i="97"/>
  <c r="M57" i="62"/>
  <c r="B33" i="51" s="1"/>
  <c r="D58" i="36"/>
  <c r="D23" i="21"/>
  <c r="D49" i="36"/>
  <c r="E89" i="62"/>
  <c r="E842" i="94"/>
  <c r="F89" i="14"/>
  <c r="F839" i="94"/>
  <c r="F813" i="94"/>
  <c r="J48" i="94"/>
  <c r="J984" i="94"/>
  <c r="L48" i="94"/>
  <c r="L984" i="94"/>
  <c r="K393" i="94"/>
  <c r="L15" i="22"/>
  <c r="L76" i="94"/>
  <c r="E638" i="94"/>
  <c r="U70" i="32"/>
  <c r="B17" i="33"/>
  <c r="L120" i="32"/>
  <c r="K811" i="94"/>
  <c r="K89" i="32"/>
  <c r="K837" i="94"/>
  <c r="F831" i="94"/>
  <c r="D65" i="46"/>
  <c r="J17" i="78"/>
  <c r="AA18" i="97"/>
  <c r="K48" i="94"/>
  <c r="K984" i="94"/>
  <c r="AE12" i="100"/>
  <c r="Z12" i="97"/>
  <c r="P75" i="22"/>
  <c r="D26" i="26"/>
  <c r="E76" i="26"/>
  <c r="F436" i="94"/>
  <c r="L119" i="42"/>
  <c r="AE17" i="100"/>
  <c r="Z17" i="97"/>
  <c r="F60" i="94"/>
  <c r="D13" i="46"/>
  <c r="H89" i="47"/>
  <c r="H844" i="94"/>
  <c r="H818" i="94"/>
  <c r="K84" i="62"/>
  <c r="K801" i="94" s="1"/>
  <c r="L112" i="62"/>
  <c r="M954" i="94"/>
  <c r="AF14" i="100"/>
  <c r="AA14" i="97"/>
  <c r="H22" i="98"/>
  <c r="X4" i="65"/>
  <c r="F592" i="94"/>
  <c r="D43" i="83"/>
  <c r="AE21" i="100"/>
  <c r="Z21" i="97"/>
  <c r="U22" i="73"/>
  <c r="B21" i="88"/>
  <c r="L121" i="84"/>
  <c r="J84" i="62"/>
  <c r="J801" i="94" s="1"/>
  <c r="J749" i="94"/>
  <c r="M83" i="62"/>
  <c r="M788" i="94"/>
  <c r="F429" i="94"/>
  <c r="D23" i="83"/>
  <c r="D47" i="21"/>
  <c r="D29" i="16"/>
  <c r="O72" i="22"/>
  <c r="E48" i="94"/>
  <c r="E984" i="94"/>
  <c r="J18" i="32"/>
  <c r="J94" i="94"/>
  <c r="M68" i="27"/>
  <c r="J51" i="65"/>
  <c r="M11" i="42"/>
  <c r="M30" i="94"/>
  <c r="D30" i="94"/>
  <c r="U69" i="62"/>
  <c r="M956" i="94"/>
  <c r="AF12" i="100"/>
  <c r="AA12" i="97"/>
  <c r="J11" i="78"/>
  <c r="B55" i="94"/>
  <c r="B279" i="94"/>
  <c r="B880" i="94"/>
  <c r="B318" i="94"/>
  <c r="B455" i="94"/>
  <c r="B759" i="94"/>
  <c r="B370" i="94"/>
  <c r="B213" i="94"/>
  <c r="B344" i="94"/>
  <c r="W6" i="65"/>
  <c r="W7" i="65" s="1"/>
  <c r="V4" i="65"/>
  <c r="F459" i="94"/>
  <c r="D29" i="83"/>
  <c r="O65" i="84"/>
  <c r="S65" i="84"/>
  <c r="F691" i="94"/>
  <c r="D73" i="91"/>
  <c r="L116" i="17"/>
  <c r="O68" i="27"/>
  <c r="D12" i="95"/>
  <c r="F12" i="95"/>
  <c r="D10" i="41"/>
  <c r="F17" i="94"/>
  <c r="J89" i="42"/>
  <c r="J840" i="94"/>
  <c r="D46" i="46"/>
  <c r="F632" i="94"/>
  <c r="M83" i="47"/>
  <c r="M790" i="94"/>
  <c r="M38" i="62"/>
  <c r="X19" i="100"/>
  <c r="J42" i="62"/>
  <c r="J399" i="94"/>
  <c r="AF13" i="100"/>
  <c r="AA13" i="97"/>
  <c r="V19" i="73"/>
  <c r="AA11" i="97"/>
  <c r="D11" i="91"/>
  <c r="F28" i="94"/>
  <c r="M13" i="92"/>
  <c r="M54" i="94"/>
  <c r="F639" i="94"/>
  <c r="D47" i="91"/>
  <c r="AF15" i="100"/>
  <c r="AA15" i="97"/>
  <c r="AD22" i="100"/>
  <c r="Y22" i="97"/>
  <c r="L118" i="32"/>
  <c r="L118" i="42"/>
  <c r="U73" i="42"/>
  <c r="H84" i="42"/>
  <c r="H799" i="94"/>
  <c r="P75" i="47"/>
  <c r="D84" i="47"/>
  <c r="D803" i="94"/>
  <c r="O73" i="62"/>
  <c r="S73" i="62"/>
  <c r="H89" i="62"/>
  <c r="H842" i="94" s="1"/>
  <c r="AF16" i="100"/>
  <c r="AA16" i="97"/>
  <c r="V22" i="73"/>
  <c r="B503" i="94"/>
  <c r="B168" i="94"/>
  <c r="B49" i="94"/>
  <c r="B404" i="94"/>
  <c r="B779" i="94"/>
  <c r="B278" i="94"/>
  <c r="B80" i="94"/>
  <c r="B534" i="94"/>
  <c r="T22" i="73"/>
  <c r="Y21" i="97"/>
  <c r="AF22" i="100"/>
  <c r="AA22" i="97"/>
  <c r="E25" i="97"/>
  <c r="M70" i="62"/>
  <c r="Y70" i="62"/>
  <c r="L116" i="62"/>
  <c r="AD19" i="100"/>
  <c r="Y19" i="97"/>
  <c r="B766" i="94"/>
  <c r="B820" i="94"/>
  <c r="B900" i="94"/>
  <c r="B207" i="94"/>
  <c r="B569" i="94"/>
  <c r="B887" i="94"/>
  <c r="AD20" i="100"/>
  <c r="Y20" i="97"/>
  <c r="AF19" i="100"/>
  <c r="AA19" i="97"/>
  <c r="D59" i="83"/>
  <c r="T20" i="73"/>
  <c r="B712" i="94"/>
  <c r="B36" i="94"/>
  <c r="B449" i="94"/>
  <c r="B582" i="94"/>
  <c r="B595" i="94"/>
  <c r="B866" i="94"/>
  <c r="B469" i="94"/>
  <c r="M13" i="84"/>
  <c r="V13" i="65"/>
  <c r="AE20" i="100"/>
  <c r="Z20" i="97"/>
  <c r="K115" i="71"/>
  <c r="L115" i="71"/>
  <c r="K121" i="71"/>
  <c r="L121" i="71"/>
  <c r="K120" i="71"/>
  <c r="L120" i="71"/>
  <c r="E128" i="71"/>
  <c r="I128" i="71"/>
  <c r="J128" i="71"/>
  <c r="K117" i="71"/>
  <c r="L117" i="71"/>
  <c r="K123" i="71"/>
  <c r="L123" i="71"/>
  <c r="G21" i="98"/>
  <c r="AF20" i="100"/>
  <c r="AA20" i="97"/>
  <c r="S20" i="74"/>
  <c r="U17" i="73"/>
  <c r="Z15" i="97"/>
  <c r="R15" i="74"/>
  <c r="L115" i="84"/>
  <c r="D89" i="84"/>
  <c r="D843" i="94"/>
  <c r="D11" i="83"/>
  <c r="V20" i="73"/>
  <c r="Q20" i="74"/>
  <c r="J19" i="78"/>
  <c r="M11" i="84"/>
  <c r="B11" i="83"/>
  <c r="D59" i="94"/>
  <c r="M70" i="84"/>
  <c r="V53" i="65"/>
  <c r="K31" i="84"/>
  <c r="K257" i="94"/>
  <c r="D44" i="83"/>
  <c r="D49" i="83"/>
  <c r="D47" i="83"/>
  <c r="U72" i="62"/>
  <c r="K89" i="62"/>
  <c r="K842" i="94"/>
  <c r="G42" i="62"/>
  <c r="G399" i="94"/>
  <c r="O68" i="62"/>
  <c r="I31" i="62"/>
  <c r="I256" i="94" s="1"/>
  <c r="O70" i="62"/>
  <c r="S70" i="62" s="1"/>
  <c r="U75" i="62"/>
  <c r="M25" i="62"/>
  <c r="D49" i="51"/>
  <c r="D59" i="51"/>
  <c r="D61" i="51" s="1"/>
  <c r="D47" i="51"/>
  <c r="M72" i="62"/>
  <c r="G89" i="62"/>
  <c r="G842" i="94"/>
  <c r="K77" i="62"/>
  <c r="K734" i="94"/>
  <c r="E31" i="62"/>
  <c r="E256" i="94" s="1"/>
  <c r="K62" i="62"/>
  <c r="K551" i="94"/>
  <c r="L89" i="62"/>
  <c r="L842" i="94"/>
  <c r="F77" i="62"/>
  <c r="F734" i="94"/>
  <c r="D48" i="51"/>
  <c r="D43" i="51"/>
  <c r="J77" i="62"/>
  <c r="J734" i="94"/>
  <c r="D643" i="94"/>
  <c r="G682" i="94"/>
  <c r="G829" i="94"/>
  <c r="E15" i="62"/>
  <c r="E84" i="94" s="1"/>
  <c r="O69" i="62"/>
  <c r="S69" i="62" s="1"/>
  <c r="I29" i="62"/>
  <c r="I242" i="94" s="1"/>
  <c r="D14" i="51"/>
  <c r="J89" i="62"/>
  <c r="D29" i="62"/>
  <c r="D242" i="94" s="1"/>
  <c r="U73" i="62"/>
  <c r="D15" i="62"/>
  <c r="D84" i="94"/>
  <c r="M39" i="62"/>
  <c r="F42" i="62"/>
  <c r="F399" i="94" s="1"/>
  <c r="F402" i="94" s="1"/>
  <c r="D31" i="57" s="1"/>
  <c r="E18" i="62"/>
  <c r="E99" i="94" s="1"/>
  <c r="R19" i="74"/>
  <c r="L18" i="62"/>
  <c r="L99" i="94"/>
  <c r="F29" i="62"/>
  <c r="M60" i="62"/>
  <c r="B36" i="51" s="1"/>
  <c r="M24" i="62"/>
  <c r="K19" i="100"/>
  <c r="D53" i="51"/>
  <c r="H29" i="62"/>
  <c r="F31" i="62"/>
  <c r="F256" i="94"/>
  <c r="E62" i="62"/>
  <c r="E551" i="94"/>
  <c r="T12" i="73"/>
  <c r="I77" i="62"/>
  <c r="I734" i="94" s="1"/>
  <c r="M40" i="62"/>
  <c r="D89" i="62"/>
  <c r="D842" i="94"/>
  <c r="F18" i="62"/>
  <c r="F99" i="94"/>
  <c r="G29" i="62"/>
  <c r="G242" i="94"/>
  <c r="Q19" i="74"/>
  <c r="J29" i="62"/>
  <c r="M41" i="62"/>
  <c r="AA19" i="100"/>
  <c r="U68" i="62"/>
  <c r="M20" i="62"/>
  <c r="E42" i="62"/>
  <c r="E399" i="94"/>
  <c r="I42" i="62"/>
  <c r="I399" i="94"/>
  <c r="M73" i="62"/>
  <c r="K42" i="62"/>
  <c r="K399" i="94" s="1"/>
  <c r="M32" i="62"/>
  <c r="M269" i="94" s="1"/>
  <c r="D18" i="62"/>
  <c r="D99" i="94" s="1"/>
  <c r="M37" i="62"/>
  <c r="D60" i="51"/>
  <c r="D73" i="51"/>
  <c r="L31" i="62"/>
  <c r="L256" i="94"/>
  <c r="K15" i="47"/>
  <c r="K86" i="94"/>
  <c r="L31" i="47"/>
  <c r="L258" i="94"/>
  <c r="K29" i="47"/>
  <c r="K244" i="94"/>
  <c r="G15" i="47"/>
  <c r="D29" i="47"/>
  <c r="D244" i="94"/>
  <c r="F31" i="47"/>
  <c r="F258" i="94"/>
  <c r="M26" i="47"/>
  <c r="M18" i="100"/>
  <c r="S18" i="74"/>
  <c r="S68" i="47"/>
  <c r="U73" i="47"/>
  <c r="Q18" i="74"/>
  <c r="D35" i="46"/>
  <c r="K84" i="47"/>
  <c r="K803" i="94"/>
  <c r="J42" i="47"/>
  <c r="J401" i="94"/>
  <c r="M27" i="47"/>
  <c r="N18" i="100"/>
  <c r="H18" i="47"/>
  <c r="H101" i="94"/>
  <c r="D64" i="46"/>
  <c r="D66" i="46"/>
  <c r="F62" i="47"/>
  <c r="F553" i="94"/>
  <c r="D15" i="47"/>
  <c r="D86" i="94"/>
  <c r="H31" i="47"/>
  <c r="H258" i="94"/>
  <c r="E84" i="47"/>
  <c r="E803" i="94"/>
  <c r="U75" i="47"/>
  <c r="I18" i="47"/>
  <c r="I101" i="94"/>
  <c r="D26" i="46"/>
  <c r="E76" i="46"/>
  <c r="D29" i="46"/>
  <c r="G84" i="47"/>
  <c r="G803" i="94"/>
  <c r="H42" i="47"/>
  <c r="M32" i="47"/>
  <c r="G29" i="47"/>
  <c r="G244" i="94"/>
  <c r="J89" i="47"/>
  <c r="J844" i="94"/>
  <c r="H110" i="47"/>
  <c r="O67" i="47"/>
  <c r="S67" i="47"/>
  <c r="L119" i="47"/>
  <c r="G62" i="47"/>
  <c r="G553" i="94"/>
  <c r="T13" i="73"/>
  <c r="D47" i="46"/>
  <c r="G31" i="47"/>
  <c r="G258" i="94"/>
  <c r="F18" i="47"/>
  <c r="F101" i="94"/>
  <c r="D57" i="46"/>
  <c r="E31" i="47"/>
  <c r="E258" i="94"/>
  <c r="D18" i="47"/>
  <c r="D101" i="94"/>
  <c r="M13" i="47"/>
  <c r="M60" i="94"/>
  <c r="D57" i="41"/>
  <c r="F29" i="42"/>
  <c r="F240" i="94"/>
  <c r="D52" i="41"/>
  <c r="L89" i="42"/>
  <c r="L840" i="94"/>
  <c r="O67" i="42"/>
  <c r="S67" i="42"/>
  <c r="M68" i="42"/>
  <c r="E74" i="41"/>
  <c r="G84" i="42"/>
  <c r="G799" i="94"/>
  <c r="L15" i="42"/>
  <c r="L82" i="94"/>
  <c r="D35" i="41"/>
  <c r="D34" i="41"/>
  <c r="U67" i="42"/>
  <c r="D84" i="42"/>
  <c r="D799" i="94"/>
  <c r="J77" i="42"/>
  <c r="J732" i="94"/>
  <c r="D77" i="42"/>
  <c r="D732" i="94"/>
  <c r="D15" i="42"/>
  <c r="D82" i="94"/>
  <c r="U11" i="73"/>
  <c r="D13" i="41"/>
  <c r="O65" i="42"/>
  <c r="S65" i="42"/>
  <c r="K84" i="42"/>
  <c r="K799" i="94"/>
  <c r="D18" i="42"/>
  <c r="D97" i="94"/>
  <c r="K15" i="42"/>
  <c r="K82" i="94"/>
  <c r="L18" i="42"/>
  <c r="L97" i="94"/>
  <c r="M88" i="42"/>
  <c r="B65" i="41"/>
  <c r="V11" i="73"/>
  <c r="D60" i="41"/>
  <c r="D36" i="41"/>
  <c r="M24" i="42"/>
  <c r="M175" i="94"/>
  <c r="J15" i="42"/>
  <c r="J82" i="94"/>
  <c r="S17" i="74"/>
  <c r="L84" i="42"/>
  <c r="L799" i="94"/>
  <c r="J18" i="42"/>
  <c r="J97" i="94"/>
  <c r="R17" i="74"/>
  <c r="F84" i="42"/>
  <c r="F799" i="94"/>
  <c r="K31" i="42"/>
  <c r="K254" i="94"/>
  <c r="M83" i="42"/>
  <c r="L118" i="92"/>
  <c r="R66" i="65"/>
  <c r="B60" i="46"/>
  <c r="F60" i="46"/>
  <c r="N14" i="80"/>
  <c r="M72" i="14"/>
  <c r="M666" i="94"/>
  <c r="U70" i="14"/>
  <c r="M36" i="14"/>
  <c r="M318" i="94"/>
  <c r="I42" i="14"/>
  <c r="I396" i="94"/>
  <c r="L62" i="14"/>
  <c r="L548" i="94"/>
  <c r="K29" i="27"/>
  <c r="H15" i="47"/>
  <c r="H86" i="94"/>
  <c r="M65" i="62"/>
  <c r="Y65" i="62" s="1"/>
  <c r="V17" i="73"/>
  <c r="E77" i="62"/>
  <c r="E734" i="94"/>
  <c r="L119" i="62"/>
  <c r="D36" i="46"/>
  <c r="D65" i="51"/>
  <c r="D66" i="51"/>
  <c r="M33" i="62"/>
  <c r="S19" i="100" s="1"/>
  <c r="E89" i="47"/>
  <c r="E844" i="94"/>
  <c r="I77" i="47"/>
  <c r="I736" i="94"/>
  <c r="L42" i="47"/>
  <c r="L401" i="94"/>
  <c r="M93" i="42"/>
  <c r="P81" i="65"/>
  <c r="M33" i="17"/>
  <c r="M57" i="27"/>
  <c r="M479" i="94"/>
  <c r="M37" i="47"/>
  <c r="M39" i="17"/>
  <c r="R19" i="97"/>
  <c r="D29" i="22"/>
  <c r="D234" i="94"/>
  <c r="M59" i="27"/>
  <c r="M505" i="94"/>
  <c r="D77" i="32"/>
  <c r="D729" i="94"/>
  <c r="L117" i="37"/>
  <c r="G89" i="37"/>
  <c r="G815" i="94"/>
  <c r="K20" i="94"/>
  <c r="K15" i="84"/>
  <c r="K85" i="94"/>
  <c r="F113" i="94"/>
  <c r="F18" i="84"/>
  <c r="F100" i="94"/>
  <c r="J709" i="94"/>
  <c r="J77" i="84"/>
  <c r="J735" i="94"/>
  <c r="L817" i="94"/>
  <c r="L89" i="84"/>
  <c r="L843" i="94"/>
  <c r="D53" i="91"/>
  <c r="F717" i="94"/>
  <c r="I89" i="92"/>
  <c r="I838" i="94"/>
  <c r="I825" i="94"/>
  <c r="H84" i="14"/>
  <c r="H798" i="94"/>
  <c r="B17" i="43"/>
  <c r="D23" i="2"/>
  <c r="E18" i="27"/>
  <c r="E92" i="94"/>
  <c r="F15" i="22"/>
  <c r="F76" i="94"/>
  <c r="I15" i="42"/>
  <c r="I82" i="94"/>
  <c r="M72" i="42"/>
  <c r="F15" i="42"/>
  <c r="F82" i="94"/>
  <c r="M69" i="62"/>
  <c r="H15" i="62"/>
  <c r="H84" i="94" s="1"/>
  <c r="M13" i="62"/>
  <c r="T13" i="65"/>
  <c r="M61" i="62"/>
  <c r="B37" i="51" s="1"/>
  <c r="F37" i="51" s="1"/>
  <c r="I18" i="62"/>
  <c r="I99" i="94" s="1"/>
  <c r="M76" i="62"/>
  <c r="O67" i="62"/>
  <c r="S67" i="62"/>
  <c r="U74" i="62"/>
  <c r="D49" i="21"/>
  <c r="M59" i="62"/>
  <c r="M60" i="42"/>
  <c r="L31" i="42"/>
  <c r="L254" i="94"/>
  <c r="D89" i="22"/>
  <c r="D834" i="94"/>
  <c r="H42" i="42"/>
  <c r="H397" i="94"/>
  <c r="M28" i="27"/>
  <c r="O14" i="100"/>
  <c r="I89" i="62"/>
  <c r="I842" i="94" s="1"/>
  <c r="F89" i="47"/>
  <c r="F844" i="94"/>
  <c r="E31" i="17"/>
  <c r="E250" i="94"/>
  <c r="J31" i="17"/>
  <c r="J250" i="94"/>
  <c r="O67" i="17"/>
  <c r="F29" i="22"/>
  <c r="G15" i="27"/>
  <c r="G77" i="94"/>
  <c r="F466" i="94"/>
  <c r="M80" i="32"/>
  <c r="B57" i="31"/>
  <c r="D84" i="37"/>
  <c r="D800" i="94"/>
  <c r="P75" i="42"/>
  <c r="E615" i="94"/>
  <c r="M946" i="94"/>
  <c r="L112" i="22"/>
  <c r="I33" i="94"/>
  <c r="I15" i="84"/>
  <c r="I85" i="94"/>
  <c r="O73" i="84"/>
  <c r="S73" i="84"/>
  <c r="E683" i="94"/>
  <c r="M68" i="62"/>
  <c r="L62" i="62"/>
  <c r="L551" i="94" s="1"/>
  <c r="L115" i="42"/>
  <c r="M57" i="42"/>
  <c r="U65" i="17"/>
  <c r="M94" i="62"/>
  <c r="M883" i="94" s="1"/>
  <c r="D14" i="41"/>
  <c r="M93" i="62"/>
  <c r="T81" i="65" s="1"/>
  <c r="H84" i="47"/>
  <c r="H803" i="94"/>
  <c r="L29" i="42"/>
  <c r="L240" i="94"/>
  <c r="M60" i="47"/>
  <c r="B36" i="46"/>
  <c r="H87" i="63"/>
  <c r="D36" i="26"/>
  <c r="F518" i="94"/>
  <c r="E84" i="42"/>
  <c r="E799" i="94"/>
  <c r="E760" i="94"/>
  <c r="D26" i="83"/>
  <c r="E76" i="83"/>
  <c r="D618" i="94"/>
  <c r="O68" i="84"/>
  <c r="S68" i="84"/>
  <c r="M955" i="94"/>
  <c r="L112" i="84"/>
  <c r="F574" i="94"/>
  <c r="D42" i="91"/>
  <c r="O16" i="97"/>
  <c r="E15" i="14"/>
  <c r="E81" i="94"/>
  <c r="L42" i="14"/>
  <c r="L396" i="94"/>
  <c r="M65" i="17"/>
  <c r="B42" i="16"/>
  <c r="D102" i="15"/>
  <c r="U71" i="32"/>
  <c r="U72" i="37"/>
  <c r="U76" i="42"/>
  <c r="D62" i="42"/>
  <c r="D549" i="94"/>
  <c r="M87" i="62"/>
  <c r="D84" i="62"/>
  <c r="U66" i="62"/>
  <c r="O65" i="62"/>
  <c r="S65" i="62" s="1"/>
  <c r="M47" i="62"/>
  <c r="T14" i="73"/>
  <c r="D59" i="2"/>
  <c r="D33" i="51"/>
  <c r="D42" i="21"/>
  <c r="D64" i="31"/>
  <c r="D66" i="31"/>
  <c r="D50" i="16"/>
  <c r="M21" i="42"/>
  <c r="I84" i="47"/>
  <c r="I803" i="94"/>
  <c r="G18" i="47"/>
  <c r="G101" i="94"/>
  <c r="K42" i="42"/>
  <c r="M76" i="37"/>
  <c r="N59" i="65"/>
  <c r="D89" i="32"/>
  <c r="D837" i="94"/>
  <c r="F89" i="32"/>
  <c r="F837" i="94"/>
  <c r="E18" i="17"/>
  <c r="E93" i="94"/>
  <c r="M93" i="17"/>
  <c r="M864" i="94"/>
  <c r="M88" i="27"/>
  <c r="B65" i="26"/>
  <c r="M95" i="42"/>
  <c r="E894" i="94"/>
  <c r="I89" i="84"/>
  <c r="I843" i="94"/>
  <c r="L118" i="84"/>
  <c r="Y70" i="84"/>
  <c r="O71" i="92"/>
  <c r="U76" i="17"/>
  <c r="M10" i="42"/>
  <c r="M17" i="94"/>
  <c r="I62" i="62"/>
  <c r="I551" i="94" s="1"/>
  <c r="M11" i="62"/>
  <c r="I31" i="84"/>
  <c r="I257" i="94"/>
  <c r="I322" i="94"/>
  <c r="U76" i="32"/>
  <c r="M67" i="42"/>
  <c r="E75" i="41"/>
  <c r="U67" i="62"/>
  <c r="F89" i="62"/>
  <c r="F842" i="94" s="1"/>
  <c r="D52" i="16"/>
  <c r="E84" i="62"/>
  <c r="E801" i="94" s="1"/>
  <c r="M13" i="37"/>
  <c r="M57" i="94"/>
  <c r="S66" i="14"/>
  <c r="D8" i="68"/>
  <c r="L29" i="27"/>
  <c r="L235" i="94"/>
  <c r="B11" i="41"/>
  <c r="B21" i="18"/>
  <c r="T19" i="73"/>
  <c r="Q26" i="62"/>
  <c r="M321" i="94"/>
  <c r="U76" i="22"/>
  <c r="J15" i="37"/>
  <c r="J83" i="94"/>
  <c r="I15" i="47"/>
  <c r="I86" i="94"/>
  <c r="D62" i="47"/>
  <c r="D553" i="94"/>
  <c r="U76" i="62"/>
  <c r="M66" i="62"/>
  <c r="Y66" i="62" s="1"/>
  <c r="M50" i="62"/>
  <c r="T32" i="65" s="1"/>
  <c r="M82" i="62"/>
  <c r="D46" i="2"/>
  <c r="D43" i="46"/>
  <c r="D46" i="41"/>
  <c r="D34" i="21"/>
  <c r="D32" i="21"/>
  <c r="L29" i="37"/>
  <c r="L241" i="94"/>
  <c r="M38" i="47"/>
  <c r="I84" i="42"/>
  <c r="I799" i="94"/>
  <c r="G42" i="42"/>
  <c r="G397" i="94"/>
  <c r="M22" i="42"/>
  <c r="I17" i="100"/>
  <c r="F42" i="32"/>
  <c r="D19" i="31"/>
  <c r="O68" i="42"/>
  <c r="J89" i="27"/>
  <c r="J835" i="94"/>
  <c r="F63" i="94"/>
  <c r="U67" i="14"/>
  <c r="U69" i="17"/>
  <c r="J42" i="32"/>
  <c r="J394" i="94"/>
  <c r="D44" i="86"/>
  <c r="F474" i="94"/>
  <c r="D32" i="83"/>
  <c r="E910" i="94"/>
  <c r="M96" i="84"/>
  <c r="M910" i="94"/>
  <c r="F600" i="94"/>
  <c r="D44" i="91"/>
  <c r="M96" i="14"/>
  <c r="D84" i="65"/>
  <c r="R22" i="65"/>
  <c r="M87" i="47"/>
  <c r="E110" i="62"/>
  <c r="M41" i="42"/>
  <c r="M384" i="94"/>
  <c r="L84" i="37"/>
  <c r="L800" i="94"/>
  <c r="D77" i="17"/>
  <c r="D728" i="94"/>
  <c r="F830" i="94"/>
  <c r="D65" i="83"/>
  <c r="D330" i="94"/>
  <c r="D42" i="92"/>
  <c r="P11" i="65"/>
  <c r="T22" i="65"/>
  <c r="D318" i="94"/>
  <c r="I370" i="94"/>
  <c r="M69" i="32"/>
  <c r="Y69" i="32"/>
  <c r="M75" i="42"/>
  <c r="P58" i="65"/>
  <c r="M75" i="62"/>
  <c r="M74" i="62"/>
  <c r="U65" i="62"/>
  <c r="J18" i="62"/>
  <c r="J99" i="94"/>
  <c r="M22" i="62"/>
  <c r="I19" i="100" s="1"/>
  <c r="E29" i="62"/>
  <c r="E242" i="94"/>
  <c r="D44" i="2"/>
  <c r="D53" i="41"/>
  <c r="D42" i="41"/>
  <c r="D58" i="16"/>
  <c r="D29" i="51"/>
  <c r="D65" i="16"/>
  <c r="G18" i="62"/>
  <c r="G99" i="94"/>
  <c r="M95" i="47"/>
  <c r="M898" i="94"/>
  <c r="G42" i="47"/>
  <c r="G401" i="94"/>
  <c r="M96" i="42"/>
  <c r="M81" i="42"/>
  <c r="M760" i="94"/>
  <c r="F77" i="42"/>
  <c r="F732" i="94"/>
  <c r="M37" i="42"/>
  <c r="M332" i="94"/>
  <c r="H62" i="37"/>
  <c r="H550" i="94"/>
  <c r="J84" i="22"/>
  <c r="J793" i="94"/>
  <c r="K89" i="42"/>
  <c r="K840" i="94"/>
  <c r="G89" i="42"/>
  <c r="G840" i="94"/>
  <c r="M59" i="42"/>
  <c r="B35" i="41"/>
  <c r="M22" i="17"/>
  <c r="M145" i="94"/>
  <c r="G354" i="94"/>
  <c r="M67" i="17"/>
  <c r="E75" i="16"/>
  <c r="F611" i="94"/>
  <c r="H18" i="22"/>
  <c r="H91" i="94"/>
  <c r="D156" i="94"/>
  <c r="E505" i="94"/>
  <c r="G84" i="32"/>
  <c r="G796" i="94"/>
  <c r="G770" i="94"/>
  <c r="O70" i="37"/>
  <c r="S70" i="37"/>
  <c r="G642" i="94"/>
  <c r="I15" i="92"/>
  <c r="I80" i="94"/>
  <c r="H33" i="94"/>
  <c r="L31" i="22"/>
  <c r="L248" i="94"/>
  <c r="D31" i="27"/>
  <c r="D249" i="94"/>
  <c r="I31" i="27"/>
  <c r="I249" i="94"/>
  <c r="D36" i="86"/>
  <c r="H29" i="84"/>
  <c r="H243" i="94"/>
  <c r="F29" i="92"/>
  <c r="F478" i="94"/>
  <c r="D56" i="57"/>
  <c r="F15" i="32"/>
  <c r="F79" i="94"/>
  <c r="O67" i="32"/>
  <c r="S67" i="32"/>
  <c r="U71" i="37"/>
  <c r="U75" i="37"/>
  <c r="E89" i="42"/>
  <c r="E840" i="94"/>
  <c r="D605" i="94"/>
  <c r="U67" i="84"/>
  <c r="M87" i="84"/>
  <c r="V70" i="65"/>
  <c r="G884" i="94"/>
  <c r="G886" i="94"/>
  <c r="G1067" i="94" s="1"/>
  <c r="M94" i="84"/>
  <c r="M884" i="94"/>
  <c r="F42" i="27"/>
  <c r="F392" i="94"/>
  <c r="M72" i="32"/>
  <c r="M664" i="94"/>
  <c r="O72" i="37"/>
  <c r="S72" i="37"/>
  <c r="M96" i="37"/>
  <c r="N84" i="65"/>
  <c r="O72" i="42"/>
  <c r="S72" i="42"/>
  <c r="H42" i="84"/>
  <c r="H400" i="94"/>
  <c r="H387" i="94"/>
  <c r="U68" i="92"/>
  <c r="D31" i="22"/>
  <c r="U67" i="22"/>
  <c r="G84" i="22"/>
  <c r="G793" i="94"/>
  <c r="D18" i="27"/>
  <c r="D92" i="94"/>
  <c r="J31" i="27"/>
  <c r="J249" i="94"/>
  <c r="G31" i="32"/>
  <c r="G251" i="94"/>
  <c r="O70" i="32"/>
  <c r="S70" i="32"/>
  <c r="M75" i="32"/>
  <c r="B52" i="31"/>
  <c r="D15" i="37"/>
  <c r="J84" i="37"/>
  <c r="J800" i="94"/>
  <c r="M88" i="37"/>
  <c r="B65" i="36"/>
  <c r="M94" i="37"/>
  <c r="M882" i="94"/>
  <c r="AE19" i="100"/>
  <c r="I18" i="78"/>
  <c r="L112" i="42"/>
  <c r="M952" i="94"/>
  <c r="L29" i="84"/>
  <c r="L243" i="94"/>
  <c r="L178" i="94"/>
  <c r="M74" i="84"/>
  <c r="D74" i="83"/>
  <c r="U74" i="84"/>
  <c r="D696" i="94"/>
  <c r="H817" i="94"/>
  <c r="H89" i="84"/>
  <c r="H843" i="94"/>
  <c r="E830" i="94"/>
  <c r="E89" i="84"/>
  <c r="E843" i="94"/>
  <c r="D691" i="94"/>
  <c r="U74" i="92"/>
  <c r="L116" i="84"/>
  <c r="M951" i="94"/>
  <c r="M26" i="87"/>
  <c r="M21" i="100"/>
  <c r="O69" i="84"/>
  <c r="S69" i="84"/>
  <c r="L117" i="62"/>
  <c r="E18" i="84"/>
  <c r="E100" i="94"/>
  <c r="D23" i="86"/>
  <c r="D35" i="86"/>
  <c r="M93" i="87"/>
  <c r="X81" i="65"/>
  <c r="F49" i="94"/>
  <c r="U72" i="87"/>
  <c r="D18" i="87"/>
  <c r="D90" i="94"/>
  <c r="I62" i="87"/>
  <c r="I542" i="94"/>
  <c r="U73" i="87"/>
  <c r="D10" i="86"/>
  <c r="L117" i="87"/>
  <c r="L89" i="87"/>
  <c r="L833" i="94"/>
  <c r="K29" i="87"/>
  <c r="K233" i="94"/>
  <c r="F29" i="87"/>
  <c r="D861" i="94"/>
  <c r="V21" i="73"/>
  <c r="H42" i="92"/>
  <c r="M41" i="92"/>
  <c r="T21" i="97"/>
  <c r="L42" i="92"/>
  <c r="L395" i="94"/>
  <c r="M76" i="92"/>
  <c r="M717" i="94"/>
  <c r="D110" i="92"/>
  <c r="D31" i="92"/>
  <c r="D252" i="94"/>
  <c r="M11" i="92"/>
  <c r="Z11" i="65"/>
  <c r="D13" i="91"/>
  <c r="M38" i="92"/>
  <c r="X22" i="100"/>
  <c r="J84" i="92"/>
  <c r="J797" i="94"/>
  <c r="L112" i="92"/>
  <c r="J21" i="78"/>
  <c r="G29" i="92"/>
  <c r="G238" i="94"/>
  <c r="M97" i="92"/>
  <c r="L29" i="92"/>
  <c r="D46" i="91"/>
  <c r="F42" i="92"/>
  <c r="L84" i="92"/>
  <c r="L797" i="94"/>
  <c r="S21" i="74"/>
  <c r="D89" i="92"/>
  <c r="D838" i="94"/>
  <c r="O73" i="92"/>
  <c r="S73" i="92"/>
  <c r="D29" i="91"/>
  <c r="K15" i="92"/>
  <c r="K80" i="94"/>
  <c r="D23" i="91"/>
  <c r="U73" i="92"/>
  <c r="I42" i="92"/>
  <c r="I395" i="94"/>
  <c r="L18" i="92"/>
  <c r="L95" i="94"/>
  <c r="D50" i="91"/>
  <c r="E84" i="92"/>
  <c r="E797" i="94"/>
  <c r="G42" i="92"/>
  <c r="G395" i="94"/>
  <c r="L117" i="92"/>
  <c r="P75" i="92"/>
  <c r="O67" i="92"/>
  <c r="M10" i="92"/>
  <c r="M15" i="94"/>
  <c r="D52" i="91"/>
  <c r="O72" i="92"/>
  <c r="S72" i="92"/>
  <c r="E89" i="92"/>
  <c r="E838" i="94"/>
  <c r="U67" i="92"/>
  <c r="F15" i="92"/>
  <c r="F80" i="94"/>
  <c r="J89" i="92"/>
  <c r="J838" i="94"/>
  <c r="H15" i="92"/>
  <c r="H80" i="94"/>
  <c r="M57" i="92"/>
  <c r="B33" i="91"/>
  <c r="D61" i="90"/>
  <c r="O69" i="87"/>
  <c r="S69" i="87"/>
  <c r="F89" i="87"/>
  <c r="F833" i="94"/>
  <c r="E29" i="87"/>
  <c r="E233" i="94"/>
  <c r="M21" i="87"/>
  <c r="H21" i="100"/>
  <c r="E77" i="87"/>
  <c r="E725" i="94"/>
  <c r="L115" i="87"/>
  <c r="G77" i="87"/>
  <c r="G725" i="94"/>
  <c r="E84" i="87"/>
  <c r="E792" i="94"/>
  <c r="U76" i="87"/>
  <c r="G29" i="87"/>
  <c r="G233" i="94"/>
  <c r="H29" i="87"/>
  <c r="H233" i="94"/>
  <c r="U69" i="87"/>
  <c r="M94" i="87"/>
  <c r="X82" i="65"/>
  <c r="M96" i="87"/>
  <c r="M900" i="94"/>
  <c r="L724" i="94"/>
  <c r="L1049" i="94" s="1"/>
  <c r="E673" i="94"/>
  <c r="M75" i="87"/>
  <c r="B52" i="86"/>
  <c r="M82" i="87"/>
  <c r="M766" i="94"/>
  <c r="D11" i="86"/>
  <c r="M23" i="87"/>
  <c r="G22" i="97"/>
  <c r="O66" i="87"/>
  <c r="S66" i="87"/>
  <c r="M11" i="87"/>
  <c r="B11" i="86"/>
  <c r="M71" i="87"/>
  <c r="B48" i="86"/>
  <c r="D107" i="85"/>
  <c r="M95" i="87"/>
  <c r="M887" i="94"/>
  <c r="F42" i="87"/>
  <c r="M27" i="87"/>
  <c r="N21" i="100"/>
  <c r="M88" i="87"/>
  <c r="D64" i="86"/>
  <c r="H62" i="87"/>
  <c r="H542" i="94"/>
  <c r="D65" i="86"/>
  <c r="F647" i="94"/>
  <c r="D660" i="94"/>
  <c r="Y76" i="87"/>
  <c r="D31" i="87"/>
  <c r="D247" i="94"/>
  <c r="K42" i="87"/>
  <c r="K390" i="94"/>
  <c r="O70" i="87"/>
  <c r="S70" i="87"/>
  <c r="I29" i="87"/>
  <c r="I233" i="94"/>
  <c r="U70" i="87"/>
  <c r="J62" i="87"/>
  <c r="J542" i="94"/>
  <c r="B17" i="89"/>
  <c r="I18" i="87"/>
  <c r="I90" i="94"/>
  <c r="F15" i="87"/>
  <c r="F75" i="94"/>
  <c r="L62" i="87"/>
  <c r="L542" i="94"/>
  <c r="P75" i="87"/>
  <c r="M69" i="87"/>
  <c r="Y69" i="87"/>
  <c r="L84" i="87"/>
  <c r="L792" i="94"/>
  <c r="D582" i="94"/>
  <c r="D621" i="94"/>
  <c r="D820" i="94"/>
  <c r="L820" i="94"/>
  <c r="F874" i="94"/>
  <c r="E887" i="94"/>
  <c r="D900" i="94"/>
  <c r="H89" i="87"/>
  <c r="H833" i="94"/>
  <c r="K77" i="87"/>
  <c r="K725" i="94"/>
  <c r="M73" i="87"/>
  <c r="B50" i="86"/>
  <c r="D77" i="87"/>
  <c r="D725" i="94"/>
  <c r="D29" i="87"/>
  <c r="D233" i="94"/>
  <c r="O72" i="87"/>
  <c r="S72" i="87"/>
  <c r="O73" i="87"/>
  <c r="S73" i="87"/>
  <c r="M10" i="87"/>
  <c r="B10" i="86"/>
  <c r="D37" i="86"/>
  <c r="F31" i="87"/>
  <c r="F247" i="94"/>
  <c r="D52" i="86"/>
  <c r="B21" i="89"/>
  <c r="I84" i="87"/>
  <c r="I792" i="94"/>
  <c r="L118" i="87"/>
  <c r="H15" i="87"/>
  <c r="H75" i="94"/>
  <c r="D15" i="87"/>
  <c r="M24" i="87"/>
  <c r="K21" i="100"/>
  <c r="M39" i="87"/>
  <c r="E89" i="87"/>
  <c r="E833" i="94"/>
  <c r="D53" i="86"/>
  <c r="M76" i="87"/>
  <c r="U76" i="37"/>
  <c r="U65" i="37"/>
  <c r="L77" i="37"/>
  <c r="L733" i="94"/>
  <c r="E18" i="37"/>
  <c r="E98" i="94"/>
  <c r="L89" i="37"/>
  <c r="L841" i="94"/>
  <c r="M87" i="37"/>
  <c r="M74" i="37"/>
  <c r="M694" i="94"/>
  <c r="M65" i="37"/>
  <c r="M577" i="94"/>
  <c r="D44" i="36"/>
  <c r="D65" i="36"/>
  <c r="H84" i="37"/>
  <c r="H800" i="94"/>
  <c r="O65" i="37"/>
  <c r="S65" i="37"/>
  <c r="J655" i="94"/>
  <c r="D748" i="94"/>
  <c r="G828" i="94"/>
  <c r="J15" i="78"/>
  <c r="M82" i="37"/>
  <c r="N65" i="65"/>
  <c r="V15" i="73"/>
  <c r="M22" i="37"/>
  <c r="I16" i="100"/>
  <c r="G15" i="37"/>
  <c r="G83" i="94"/>
  <c r="M71" i="37"/>
  <c r="N54" i="65"/>
  <c r="S16" i="74"/>
  <c r="D29" i="36"/>
  <c r="D42" i="36"/>
  <c r="D33" i="36"/>
  <c r="H89" i="37"/>
  <c r="H841" i="94"/>
  <c r="U74" i="37"/>
  <c r="L685" i="94"/>
  <c r="L1046" i="94" s="1"/>
  <c r="B21" i="38"/>
  <c r="F15" i="37"/>
  <c r="F83" i="94"/>
  <c r="D14" i="36"/>
  <c r="U70" i="37"/>
  <c r="M10" i="37"/>
  <c r="D13" i="36"/>
  <c r="D34" i="36"/>
  <c r="I84" i="37"/>
  <c r="I800" i="94"/>
  <c r="M70" i="37"/>
  <c r="M642" i="94"/>
  <c r="O71" i="37"/>
  <c r="S71" i="37"/>
  <c r="O69" i="37"/>
  <c r="H15" i="37"/>
  <c r="H83" i="94"/>
  <c r="D47" i="36"/>
  <c r="U69" i="37"/>
  <c r="K84" i="37"/>
  <c r="K800" i="94"/>
  <c r="M69" i="37"/>
  <c r="Y69" i="37"/>
  <c r="J89" i="37"/>
  <c r="J841" i="94"/>
  <c r="L55" i="65"/>
  <c r="B49" i="31"/>
  <c r="F49" i="31"/>
  <c r="K49" i="31"/>
  <c r="N49" i="31"/>
  <c r="U73" i="32"/>
  <c r="D52" i="31"/>
  <c r="F84" i="32"/>
  <c r="F796" i="94"/>
  <c r="B21" i="33"/>
  <c r="U72" i="32"/>
  <c r="U65" i="32"/>
  <c r="D37" i="31"/>
  <c r="O69" i="32"/>
  <c r="S69" i="32"/>
  <c r="M61" i="32"/>
  <c r="L43" i="65"/>
  <c r="U68" i="32"/>
  <c r="S15" i="74"/>
  <c r="O73" i="32"/>
  <c r="S73" i="32"/>
  <c r="I15" i="32"/>
  <c r="I79" i="94"/>
  <c r="M23" i="32"/>
  <c r="Q22" i="32"/>
  <c r="D48" i="31"/>
  <c r="D29" i="31"/>
  <c r="D46" i="31"/>
  <c r="G277" i="94"/>
  <c r="L119" i="32"/>
  <c r="E744" i="94"/>
  <c r="F783" i="94"/>
  <c r="E15" i="32"/>
  <c r="E79" i="94"/>
  <c r="U69" i="32"/>
  <c r="D32" i="31"/>
  <c r="L29" i="32"/>
  <c r="L237" i="94"/>
  <c r="F31" i="32"/>
  <c r="F251" i="94"/>
  <c r="E29" i="32"/>
  <c r="E237" i="94"/>
  <c r="D57" i="31"/>
  <c r="D61" i="31"/>
  <c r="E599" i="94"/>
  <c r="M14" i="27"/>
  <c r="M64" i="94"/>
  <c r="U67" i="27"/>
  <c r="M66" i="27"/>
  <c r="K15" i="27"/>
  <c r="K77" i="94"/>
  <c r="D60" i="26"/>
  <c r="M95" i="27"/>
  <c r="J83" i="65"/>
  <c r="L117" i="27"/>
  <c r="U65" i="27"/>
  <c r="I15" i="27"/>
  <c r="I77" i="94"/>
  <c r="M36" i="27"/>
  <c r="V14" i="100"/>
  <c r="O66" i="27"/>
  <c r="I89" i="27"/>
  <c r="I835" i="94"/>
  <c r="D157" i="94"/>
  <c r="M24" i="27"/>
  <c r="M34" i="27"/>
  <c r="T14" i="100"/>
  <c r="I314" i="94"/>
  <c r="I42" i="27"/>
  <c r="I392" i="94"/>
  <c r="M41" i="27"/>
  <c r="F62" i="27"/>
  <c r="F544" i="94"/>
  <c r="U66" i="27"/>
  <c r="B17" i="28"/>
  <c r="L42" i="27"/>
  <c r="L392" i="94"/>
  <c r="I18" i="27"/>
  <c r="I92" i="94"/>
  <c r="D52" i="26"/>
  <c r="D23" i="26"/>
  <c r="D73" i="26"/>
  <c r="K89" i="27"/>
  <c r="K835" i="94"/>
  <c r="H18" i="27"/>
  <c r="H92" i="94"/>
  <c r="O65" i="27"/>
  <c r="S65" i="27"/>
  <c r="K31" i="27"/>
  <c r="K249" i="94"/>
  <c r="G42" i="27"/>
  <c r="G392" i="94"/>
  <c r="D62" i="27"/>
  <c r="D544" i="94"/>
  <c r="D53" i="26"/>
  <c r="U76" i="27"/>
  <c r="J15" i="27"/>
  <c r="J77" i="94"/>
  <c r="J42" i="27"/>
  <c r="I29" i="27"/>
  <c r="I235" i="94"/>
  <c r="M26" i="27"/>
  <c r="M14" i="100"/>
  <c r="D11" i="26"/>
  <c r="L84" i="27"/>
  <c r="L794" i="94"/>
  <c r="I62" i="27"/>
  <c r="I544" i="94"/>
  <c r="G62" i="27"/>
  <c r="G544" i="94"/>
  <c r="G31" i="27"/>
  <c r="G249" i="94"/>
  <c r="O67" i="27"/>
  <c r="S67" i="27"/>
  <c r="M70" i="27"/>
  <c r="J53" i="65"/>
  <c r="F15" i="27"/>
  <c r="F77" i="94"/>
  <c r="G18" i="27"/>
  <c r="G92" i="94"/>
  <c r="M80" i="27"/>
  <c r="M742" i="94"/>
  <c r="M56" i="27"/>
  <c r="F234" i="94"/>
  <c r="D18" i="21"/>
  <c r="M26" i="22"/>
  <c r="M195" i="94"/>
  <c r="U65" i="22"/>
  <c r="D50" i="21"/>
  <c r="D66" i="21"/>
  <c r="D36" i="21"/>
  <c r="K42" i="22"/>
  <c r="K391" i="94"/>
  <c r="J89" i="22"/>
  <c r="J834" i="94"/>
  <c r="F11" i="94"/>
  <c r="O68" i="22"/>
  <c r="E15" i="22"/>
  <c r="E76" i="94"/>
  <c r="M23" i="22"/>
  <c r="H18" i="65"/>
  <c r="M82" i="22"/>
  <c r="F182" i="94"/>
  <c r="L528" i="94"/>
  <c r="L1032" i="94"/>
  <c r="U73" i="22"/>
  <c r="D37" i="21"/>
  <c r="H89" i="22"/>
  <c r="H834" i="94"/>
  <c r="L119" i="22"/>
  <c r="J15" i="22"/>
  <c r="J76" i="94"/>
  <c r="B17" i="23"/>
  <c r="D446" i="94"/>
  <c r="D1022" i="94" s="1"/>
  <c r="U72" i="22"/>
  <c r="H15" i="22"/>
  <c r="H76" i="94"/>
  <c r="I84" i="22"/>
  <c r="I793" i="94"/>
  <c r="D11" i="21"/>
  <c r="U70" i="22"/>
  <c r="M73" i="17"/>
  <c r="M676" i="94"/>
  <c r="X75" i="17"/>
  <c r="Y75" i="17"/>
  <c r="U72" i="17"/>
  <c r="D62" i="17"/>
  <c r="D545" i="94"/>
  <c r="B17" i="18"/>
  <c r="M87" i="17"/>
  <c r="M71" i="17"/>
  <c r="Y71" i="17"/>
  <c r="D15" i="16"/>
  <c r="L62" i="17"/>
  <c r="L545" i="94"/>
  <c r="I89" i="17"/>
  <c r="I836" i="94"/>
  <c r="D585" i="94"/>
  <c r="L912" i="94"/>
  <c r="L1069" i="94" s="1"/>
  <c r="F15" i="17"/>
  <c r="F78" i="94"/>
  <c r="D18" i="17"/>
  <c r="D93" i="94"/>
  <c r="F81" i="65"/>
  <c r="H62" i="17"/>
  <c r="H545" i="94"/>
  <c r="G18" i="17"/>
  <c r="G93" i="94"/>
  <c r="E15" i="17"/>
  <c r="E78" i="94"/>
  <c r="U68" i="17"/>
  <c r="I18" i="17"/>
  <c r="I93" i="94"/>
  <c r="L15" i="17"/>
  <c r="L78" i="94"/>
  <c r="D60" i="16"/>
  <c r="M41" i="17"/>
  <c r="O72" i="17"/>
  <c r="S72" i="17"/>
  <c r="M23" i="17"/>
  <c r="J363" i="94"/>
  <c r="J1011" i="94" s="1"/>
  <c r="D15" i="17"/>
  <c r="D78" i="94"/>
  <c r="M68" i="17"/>
  <c r="Y68" i="17"/>
  <c r="D49" i="16"/>
  <c r="E393" i="94"/>
  <c r="M34" i="17"/>
  <c r="M289" i="94"/>
  <c r="G15" i="17"/>
  <c r="G78" i="94"/>
  <c r="O68" i="17"/>
  <c r="H236" i="94"/>
  <c r="D26" i="16"/>
  <c r="E76" i="16"/>
  <c r="O71" i="17"/>
  <c r="S71" i="17"/>
  <c r="H446" i="94"/>
  <c r="H1022" i="94"/>
  <c r="U67" i="17"/>
  <c r="M40" i="17"/>
  <c r="Z12" i="100"/>
  <c r="G31" i="17"/>
  <c r="G250" i="94"/>
  <c r="K31" i="17"/>
  <c r="K250" i="94"/>
  <c r="I393" i="94"/>
  <c r="M47" i="14"/>
  <c r="E42" i="14"/>
  <c r="E396" i="94"/>
  <c r="E18" i="14"/>
  <c r="E96" i="94"/>
  <c r="M83" i="14"/>
  <c r="I18" i="14"/>
  <c r="I96" i="94"/>
  <c r="O67" i="14"/>
  <c r="S67" i="14"/>
  <c r="M67" i="14"/>
  <c r="D84" i="14"/>
  <c r="D798" i="94"/>
  <c r="D89" i="14"/>
  <c r="D839" i="94"/>
  <c r="D13" i="2"/>
  <c r="M14" i="14"/>
  <c r="B14" i="2"/>
  <c r="D66" i="2"/>
  <c r="F77" i="14"/>
  <c r="F731" i="94"/>
  <c r="J84" i="14"/>
  <c r="J798" i="94"/>
  <c r="M97" i="14"/>
  <c r="D85" i="65"/>
  <c r="L77" i="14"/>
  <c r="L731" i="94"/>
  <c r="U72" i="14"/>
  <c r="K62" i="14"/>
  <c r="K548" i="94"/>
  <c r="D53" i="2"/>
  <c r="J89" i="14"/>
  <c r="J839" i="94"/>
  <c r="M37" i="14"/>
  <c r="W11" i="100"/>
  <c r="G42" i="14"/>
  <c r="G396" i="94"/>
  <c r="O68" i="14"/>
  <c r="D9" i="95"/>
  <c r="M69" i="14"/>
  <c r="E84" i="14"/>
  <c r="E798" i="94"/>
  <c r="E89" i="14"/>
  <c r="E839" i="94"/>
  <c r="K89" i="14"/>
  <c r="K839" i="94"/>
  <c r="B21" i="6"/>
  <c r="U76" i="14"/>
  <c r="M22" i="14"/>
  <c r="I11" i="100"/>
  <c r="H15" i="14"/>
  <c r="H81" i="94"/>
  <c r="M13" i="14"/>
  <c r="H873" i="94"/>
  <c r="H1066" i="94" s="1"/>
  <c r="M20" i="92"/>
  <c r="G62" i="14"/>
  <c r="G548" i="94"/>
  <c r="I89" i="14"/>
  <c r="I839" i="94"/>
  <c r="L84" i="14"/>
  <c r="L798" i="94"/>
  <c r="K685" i="94"/>
  <c r="K1046" i="94" s="1"/>
  <c r="M87" i="14"/>
  <c r="D32" i="2"/>
  <c r="O69" i="14"/>
  <c r="S69" i="14"/>
  <c r="G15" i="14"/>
  <c r="G81" i="94"/>
  <c r="M70" i="14"/>
  <c r="M640" i="94"/>
  <c r="F84" i="14"/>
  <c r="F798" i="94"/>
  <c r="L89" i="14"/>
  <c r="L839" i="94"/>
  <c r="U69" i="14"/>
  <c r="U75" i="14"/>
  <c r="Y69" i="14"/>
  <c r="F15" i="14"/>
  <c r="F81" i="94"/>
  <c r="K18" i="27"/>
  <c r="K92" i="94"/>
  <c r="M20" i="27"/>
  <c r="G14" i="100"/>
  <c r="D47" i="2"/>
  <c r="M919" i="94"/>
  <c r="Y72" i="42"/>
  <c r="B49" i="41"/>
  <c r="K117" i="63"/>
  <c r="P55" i="65"/>
  <c r="M643" i="94"/>
  <c r="I772" i="94"/>
  <c r="I778" i="94"/>
  <c r="I1055" i="94" s="1"/>
  <c r="I84" i="14"/>
  <c r="I798" i="94"/>
  <c r="O66" i="17"/>
  <c r="S66" i="17"/>
  <c r="D9" i="68"/>
  <c r="M66" i="17"/>
  <c r="E585" i="94"/>
  <c r="U66" i="17"/>
  <c r="E748" i="94"/>
  <c r="M80" i="37"/>
  <c r="M82" i="14"/>
  <c r="E335" i="94"/>
  <c r="M37" i="84"/>
  <c r="I15" i="14"/>
  <c r="I81" i="94"/>
  <c r="D117" i="94"/>
  <c r="D18" i="22"/>
  <c r="D91" i="94"/>
  <c r="M20" i="22"/>
  <c r="G209" i="94"/>
  <c r="M27" i="27"/>
  <c r="E31" i="27"/>
  <c r="E262" i="94"/>
  <c r="L492" i="94"/>
  <c r="M58" i="27"/>
  <c r="H571" i="94"/>
  <c r="M65" i="27"/>
  <c r="H742" i="94"/>
  <c r="H84" i="27"/>
  <c r="H794" i="94"/>
  <c r="L487" i="94"/>
  <c r="L62" i="84"/>
  <c r="L552" i="94"/>
  <c r="B10" i="41"/>
  <c r="G19" i="100"/>
  <c r="M125" i="94"/>
  <c r="D893" i="94"/>
  <c r="M95" i="14"/>
  <c r="F715" i="94"/>
  <c r="M76" i="17"/>
  <c r="D53" i="16"/>
  <c r="F769" i="94"/>
  <c r="F84" i="17"/>
  <c r="F795" i="94"/>
  <c r="D59" i="16"/>
  <c r="I70" i="94"/>
  <c r="I74" i="94"/>
  <c r="I986" i="94" s="1"/>
  <c r="I15" i="37"/>
  <c r="I83" i="94"/>
  <c r="H150" i="94"/>
  <c r="H18" i="37"/>
  <c r="H98" i="94"/>
  <c r="E176" i="94"/>
  <c r="E29" i="37"/>
  <c r="E241" i="94"/>
  <c r="H320" i="94"/>
  <c r="H31" i="37"/>
  <c r="H255" i="94"/>
  <c r="O73" i="37"/>
  <c r="S73" i="37"/>
  <c r="E681" i="94"/>
  <c r="K29" i="42"/>
  <c r="K240" i="94"/>
  <c r="K175" i="94"/>
  <c r="K110" i="42"/>
  <c r="I201" i="94"/>
  <c r="I29" i="42"/>
  <c r="I240" i="94"/>
  <c r="G306" i="94"/>
  <c r="G31" i="42"/>
  <c r="G254" i="94"/>
  <c r="E319" i="94"/>
  <c r="E31" i="42"/>
  <c r="E254" i="94"/>
  <c r="M36" i="42"/>
  <c r="P22" i="65"/>
  <c r="E42" i="42"/>
  <c r="E397" i="94"/>
  <c r="K153" i="94"/>
  <c r="K18" i="47"/>
  <c r="K101" i="94"/>
  <c r="H179" i="94"/>
  <c r="H29" i="47"/>
  <c r="H244" i="94"/>
  <c r="F192" i="94"/>
  <c r="M25" i="47"/>
  <c r="X37" i="47"/>
  <c r="D656" i="94"/>
  <c r="U71" i="62"/>
  <c r="D77" i="62"/>
  <c r="D734" i="94" s="1"/>
  <c r="M71" i="62"/>
  <c r="F922" i="94"/>
  <c r="M97" i="62"/>
  <c r="O65" i="14"/>
  <c r="S65" i="14"/>
  <c r="M53" i="14"/>
  <c r="H89" i="14"/>
  <c r="H839" i="94"/>
  <c r="M19" i="14"/>
  <c r="F11" i="100"/>
  <c r="P75" i="14"/>
  <c r="M69" i="27"/>
  <c r="B26" i="51"/>
  <c r="E26" i="51"/>
  <c r="M443" i="94"/>
  <c r="E72" i="51"/>
  <c r="K18" i="32"/>
  <c r="K94" i="94"/>
  <c r="M486" i="94"/>
  <c r="M489" i="94" s="1"/>
  <c r="B45" i="57" s="1"/>
  <c r="F45" i="57" s="1"/>
  <c r="M118" i="94"/>
  <c r="Z19" i="100"/>
  <c r="M525" i="94"/>
  <c r="M528" i="94" s="1"/>
  <c r="B48" i="57" s="1"/>
  <c r="F48" i="57" s="1"/>
  <c r="T42" i="65"/>
  <c r="D26" i="21"/>
  <c r="E76" i="21"/>
  <c r="M747" i="94"/>
  <c r="B57" i="41"/>
  <c r="M83" i="37"/>
  <c r="K42" i="37"/>
  <c r="K398" i="94"/>
  <c r="M50" i="17"/>
  <c r="M510" i="94"/>
  <c r="P41" i="65"/>
  <c r="M25" i="17"/>
  <c r="J84" i="17"/>
  <c r="J795" i="94"/>
  <c r="M80" i="17"/>
  <c r="G769" i="94"/>
  <c r="G778" i="94"/>
  <c r="G1055" i="94" s="1"/>
  <c r="G84" i="17"/>
  <c r="G795" i="94"/>
  <c r="E782" i="94"/>
  <c r="E791" i="94"/>
  <c r="E1056" i="94" s="1"/>
  <c r="E84" i="17"/>
  <c r="E795" i="94"/>
  <c r="J810" i="94"/>
  <c r="J89" i="17"/>
  <c r="J836" i="94"/>
  <c r="E104" i="94"/>
  <c r="E18" i="22"/>
  <c r="E91" i="94"/>
  <c r="J182" i="94"/>
  <c r="J193" i="94"/>
  <c r="J997" i="94" s="1"/>
  <c r="J29" i="22"/>
  <c r="J234" i="94"/>
  <c r="G648" i="94"/>
  <c r="O71" i="22"/>
  <c r="S71" i="22"/>
  <c r="D674" i="94"/>
  <c r="O73" i="22"/>
  <c r="S73" i="22"/>
  <c r="M73" i="22"/>
  <c r="K791" i="94"/>
  <c r="K1056" i="94" s="1"/>
  <c r="F821" i="94"/>
  <c r="F89" i="22"/>
  <c r="F834" i="94"/>
  <c r="E862" i="94"/>
  <c r="M93" i="22"/>
  <c r="H81" i="65"/>
  <c r="M22" i="27"/>
  <c r="J144" i="94"/>
  <c r="G196" i="94"/>
  <c r="G206" i="94"/>
  <c r="G998" i="94" s="1"/>
  <c r="G29" i="27"/>
  <c r="L262" i="94"/>
  <c r="L31" i="27"/>
  <c r="L249" i="94"/>
  <c r="F314" i="94"/>
  <c r="F31" i="27"/>
  <c r="F249" i="94"/>
  <c r="K42" i="27"/>
  <c r="K392" i="94"/>
  <c r="K353" i="94"/>
  <c r="M50" i="27"/>
  <c r="E72" i="26"/>
  <c r="G436" i="94"/>
  <c r="L62" i="27"/>
  <c r="L544" i="94"/>
  <c r="L479" i="94"/>
  <c r="M61" i="27"/>
  <c r="H62" i="27"/>
  <c r="H544" i="94"/>
  <c r="H531" i="94"/>
  <c r="H541" i="94"/>
  <c r="H1033" i="94" s="1"/>
  <c r="D44" i="26"/>
  <c r="M67" i="27"/>
  <c r="F610" i="94"/>
  <c r="D45" i="26"/>
  <c r="U68" i="27"/>
  <c r="K770" i="94"/>
  <c r="K778" i="94"/>
  <c r="K1055" i="94" s="1"/>
  <c r="K84" i="32"/>
  <c r="K796" i="94"/>
  <c r="M72" i="37"/>
  <c r="L668" i="94"/>
  <c r="E162" i="94"/>
  <c r="E18" i="42"/>
  <c r="D175" i="94"/>
  <c r="D29" i="42"/>
  <c r="D240" i="94"/>
  <c r="J760" i="94"/>
  <c r="J765" i="94"/>
  <c r="J1054" i="94" s="1"/>
  <c r="J84" i="42"/>
  <c r="J799" i="94"/>
  <c r="E73" i="94"/>
  <c r="E15" i="47"/>
  <c r="E751" i="94"/>
  <c r="K831" i="94"/>
  <c r="K89" i="47"/>
  <c r="K844" i="94"/>
  <c r="L19" i="94"/>
  <c r="L15" i="62"/>
  <c r="L84" i="94" s="1"/>
  <c r="AA11" i="100"/>
  <c r="T11" i="97"/>
  <c r="E522" i="94"/>
  <c r="M60" i="14"/>
  <c r="L58" i="65"/>
  <c r="G746" i="94"/>
  <c r="M80" i="14"/>
  <c r="I197" i="94"/>
  <c r="F62" i="17"/>
  <c r="F545" i="94"/>
  <c r="K281" i="94"/>
  <c r="K31" i="37"/>
  <c r="K255" i="94"/>
  <c r="M93" i="37"/>
  <c r="E869" i="94"/>
  <c r="M65" i="14"/>
  <c r="G44" i="47"/>
  <c r="G415" i="94"/>
  <c r="D43" i="31"/>
  <c r="I24" i="94"/>
  <c r="I15" i="22"/>
  <c r="I76" i="94"/>
  <c r="J157" i="94"/>
  <c r="J29" i="27"/>
  <c r="J235" i="94"/>
  <c r="J18" i="27"/>
  <c r="J92" i="94"/>
  <c r="H301" i="94"/>
  <c r="H31" i="27"/>
  <c r="H249" i="94"/>
  <c r="G755" i="94"/>
  <c r="G84" i="27"/>
  <c r="G794" i="94"/>
  <c r="M81" i="27"/>
  <c r="F178" i="94"/>
  <c r="F29" i="84"/>
  <c r="F243" i="94"/>
  <c r="B47" i="51"/>
  <c r="Y73" i="47"/>
  <c r="M684" i="94"/>
  <c r="B50" i="46"/>
  <c r="D189" i="94"/>
  <c r="M25" i="37"/>
  <c r="M56" i="14"/>
  <c r="M93" i="14"/>
  <c r="J42" i="14"/>
  <c r="J396" i="94"/>
  <c r="D37" i="2"/>
  <c r="D266" i="94"/>
  <c r="M32" i="14"/>
  <c r="E331" i="94"/>
  <c r="D34" i="2"/>
  <c r="F496" i="94"/>
  <c r="M610" i="94"/>
  <c r="M35" i="27"/>
  <c r="M706" i="94"/>
  <c r="B52" i="41"/>
  <c r="N117" i="63"/>
  <c r="O71" i="62"/>
  <c r="S71" i="62" s="1"/>
  <c r="M827" i="94"/>
  <c r="P71" i="65"/>
  <c r="E84" i="37"/>
  <c r="M27" i="17"/>
  <c r="G119" i="94"/>
  <c r="M20" i="17"/>
  <c r="G12" i="100"/>
  <c r="M35" i="17"/>
  <c r="D10" i="31"/>
  <c r="F14" i="94"/>
  <c r="G590" i="94"/>
  <c r="O66" i="37"/>
  <c r="S66" i="37"/>
  <c r="D13" i="68"/>
  <c r="G77" i="37"/>
  <c r="G733" i="94"/>
  <c r="E616" i="94"/>
  <c r="E77" i="37"/>
  <c r="E733" i="94"/>
  <c r="E628" i="94"/>
  <c r="M69" i="42"/>
  <c r="O69" i="42"/>
  <c r="S69" i="42"/>
  <c r="U69" i="42"/>
  <c r="G719" i="94"/>
  <c r="M76" i="42"/>
  <c r="O71" i="47"/>
  <c r="S71" i="47"/>
  <c r="D658" i="94"/>
  <c r="M71" i="47"/>
  <c r="Y71" i="47"/>
  <c r="J896" i="94"/>
  <c r="J899" i="94"/>
  <c r="J1068" i="94" s="1"/>
  <c r="M95" i="62"/>
  <c r="AF18" i="100"/>
  <c r="V13" i="73"/>
  <c r="I705" i="94"/>
  <c r="I711" i="94"/>
  <c r="I1048" i="94" s="1"/>
  <c r="M75" i="14"/>
  <c r="K759" i="94"/>
  <c r="M81" i="14"/>
  <c r="K84" i="14"/>
  <c r="K798" i="94"/>
  <c r="M74" i="14"/>
  <c r="H653" i="94"/>
  <c r="H77" i="14"/>
  <c r="H731" i="94"/>
  <c r="M71" i="14"/>
  <c r="D54" i="65"/>
  <c r="E480" i="94"/>
  <c r="F709" i="94"/>
  <c r="D52" i="83"/>
  <c r="L115" i="14"/>
  <c r="K42" i="14"/>
  <c r="K396" i="94"/>
  <c r="K77" i="17"/>
  <c r="K728" i="94"/>
  <c r="K598" i="94"/>
  <c r="K350" i="94"/>
  <c r="K1010" i="94" s="1"/>
  <c r="M829" i="94"/>
  <c r="B65" i="51"/>
  <c r="G29" i="22"/>
  <c r="G234" i="94"/>
  <c r="D44" i="16"/>
  <c r="F598" i="94"/>
  <c r="H702" i="94"/>
  <c r="M75" i="17"/>
  <c r="F163" i="94"/>
  <c r="F29" i="37"/>
  <c r="M23" i="37"/>
  <c r="F773" i="94"/>
  <c r="D59" i="41"/>
  <c r="M82" i="42"/>
  <c r="T71" i="65"/>
  <c r="D15" i="14"/>
  <c r="D81" i="94"/>
  <c r="D62" i="14"/>
  <c r="D548" i="94"/>
  <c r="I77" i="14"/>
  <c r="I731" i="94"/>
  <c r="D33" i="2"/>
  <c r="E16" i="94"/>
  <c r="M10" i="14"/>
  <c r="B10" i="2"/>
  <c r="F42" i="14"/>
  <c r="M38" i="14"/>
  <c r="X11" i="100"/>
  <c r="D42" i="14"/>
  <c r="D396" i="94"/>
  <c r="H42" i="14"/>
  <c r="H396" i="94"/>
  <c r="M39" i="14"/>
  <c r="D357" i="94"/>
  <c r="L515" i="94"/>
  <c r="L1031" i="94" s="1"/>
  <c r="M70" i="22"/>
  <c r="M635" i="94"/>
  <c r="U73" i="37"/>
  <c r="M816" i="94"/>
  <c r="M310" i="94"/>
  <c r="U18" i="100"/>
  <c r="F29" i="47"/>
  <c r="D18" i="41"/>
  <c r="J62" i="17"/>
  <c r="J545" i="94"/>
  <c r="M13" i="27"/>
  <c r="O13" i="27"/>
  <c r="H29" i="27"/>
  <c r="Y13" i="100"/>
  <c r="M352" i="94"/>
  <c r="D676" i="94"/>
  <c r="O73" i="17"/>
  <c r="S73" i="17"/>
  <c r="U73" i="17"/>
  <c r="H450" i="94"/>
  <c r="H110" i="22"/>
  <c r="L25" i="94"/>
  <c r="L15" i="27"/>
  <c r="L77" i="94"/>
  <c r="F662" i="94"/>
  <c r="D49" i="26"/>
  <c r="M72" i="27"/>
  <c r="D902" i="94"/>
  <c r="M96" i="27"/>
  <c r="I342" i="94"/>
  <c r="M38" i="32"/>
  <c r="D533" i="94"/>
  <c r="I573" i="94"/>
  <c r="I77" i="32"/>
  <c r="I729" i="94"/>
  <c r="D586" i="94"/>
  <c r="U66" i="32"/>
  <c r="I638" i="94"/>
  <c r="I646" i="94"/>
  <c r="I1043" i="94" s="1"/>
  <c r="M70" i="32"/>
  <c r="M74" i="32"/>
  <c r="D74" i="31"/>
  <c r="I690" i="94"/>
  <c r="I698" i="94"/>
  <c r="I1047" i="94" s="1"/>
  <c r="M83" i="32"/>
  <c r="D783" i="94"/>
  <c r="D84" i="32"/>
  <c r="D796" i="94"/>
  <c r="J56" i="94"/>
  <c r="J110" i="42"/>
  <c r="H69" i="94"/>
  <c r="H15" i="42"/>
  <c r="H82" i="94"/>
  <c r="G110" i="94"/>
  <c r="M19" i="42"/>
  <c r="G18" i="42"/>
  <c r="G97" i="94"/>
  <c r="H149" i="94"/>
  <c r="H18" i="42"/>
  <c r="H97" i="94"/>
  <c r="H718" i="94"/>
  <c r="M76" i="14"/>
  <c r="G42" i="22"/>
  <c r="G391" i="94"/>
  <c r="G326" i="94"/>
  <c r="M11" i="37"/>
  <c r="E31" i="94"/>
  <c r="F320" i="94"/>
  <c r="F42" i="37"/>
  <c r="D19" i="36"/>
  <c r="F84" i="37"/>
  <c r="F800" i="94"/>
  <c r="F748" i="94"/>
  <c r="D57" i="36"/>
  <c r="E230" i="94"/>
  <c r="E29" i="84"/>
  <c r="E243" i="94"/>
  <c r="F270" i="94"/>
  <c r="F31" i="84"/>
  <c r="F257" i="94"/>
  <c r="G670" i="94"/>
  <c r="O72" i="84"/>
  <c r="S72" i="84"/>
  <c r="M11" i="14"/>
  <c r="B11" i="2"/>
  <c r="J496" i="94"/>
  <c r="J62" i="14"/>
  <c r="J548" i="94"/>
  <c r="D31" i="17"/>
  <c r="L131" i="94"/>
  <c r="L141" i="94"/>
  <c r="L993" i="94" s="1"/>
  <c r="L18" i="27"/>
  <c r="L92" i="94"/>
  <c r="M39" i="27"/>
  <c r="D353" i="94"/>
  <c r="D42" i="27"/>
  <c r="I421" i="94"/>
  <c r="I431" i="94"/>
  <c r="I1019" i="94" s="1"/>
  <c r="M47" i="27"/>
  <c r="I217" i="94"/>
  <c r="M27" i="84"/>
  <c r="D283" i="94"/>
  <c r="M33" i="84"/>
  <c r="D63" i="40"/>
  <c r="G86" i="63"/>
  <c r="M50" i="14"/>
  <c r="D32" i="65"/>
  <c r="L117" i="14"/>
  <c r="L446" i="94"/>
  <c r="L1022" i="94" s="1"/>
  <c r="D496" i="94"/>
  <c r="M58" i="14"/>
  <c r="M73" i="32"/>
  <c r="M10" i="32"/>
  <c r="M538" i="94"/>
  <c r="M541" i="94" s="1"/>
  <c r="B49" i="57" s="1"/>
  <c r="F49" i="57" s="1"/>
  <c r="T43" i="65"/>
  <c r="L393" i="94"/>
  <c r="M137" i="94"/>
  <c r="H16" i="100"/>
  <c r="E880" i="94"/>
  <c r="M94" i="14"/>
  <c r="D82" i="65"/>
  <c r="F648" i="94"/>
  <c r="U71" i="22"/>
  <c r="D48" i="21"/>
  <c r="H661" i="94"/>
  <c r="M72" i="22"/>
  <c r="F687" i="94"/>
  <c r="U74" i="22"/>
  <c r="R56" i="65"/>
  <c r="G84" i="14"/>
  <c r="G798" i="94"/>
  <c r="U74" i="14"/>
  <c r="M383" i="94"/>
  <c r="M40" i="14"/>
  <c r="E470" i="94"/>
  <c r="E62" i="14"/>
  <c r="E548" i="94"/>
  <c r="L470" i="94"/>
  <c r="D575" i="94"/>
  <c r="U65" i="14"/>
  <c r="J575" i="94"/>
  <c r="J581" i="94"/>
  <c r="J1038" i="94" s="1"/>
  <c r="J77" i="14"/>
  <c r="J731" i="94"/>
  <c r="M23" i="27"/>
  <c r="D84" i="17"/>
  <c r="M73" i="37"/>
  <c r="M667" i="94"/>
  <c r="M23" i="47"/>
  <c r="J18" i="100"/>
  <c r="D801" i="94"/>
  <c r="M19" i="27"/>
  <c r="F14" i="100"/>
  <c r="L18" i="32"/>
  <c r="L94" i="94"/>
  <c r="AA17" i="100"/>
  <c r="M24" i="37"/>
  <c r="E62" i="17"/>
  <c r="E545" i="94"/>
  <c r="M36" i="17"/>
  <c r="D826" i="94"/>
  <c r="M88" i="14"/>
  <c r="M24" i="17"/>
  <c r="M171" i="94"/>
  <c r="E171" i="94"/>
  <c r="H707" i="94"/>
  <c r="M75" i="37"/>
  <c r="E576" i="94"/>
  <c r="E77" i="42"/>
  <c r="E732" i="94"/>
  <c r="U65" i="42"/>
  <c r="H589" i="94"/>
  <c r="H77" i="42"/>
  <c r="H732" i="94"/>
  <c r="M66" i="42"/>
  <c r="Y66" i="42"/>
  <c r="D814" i="94"/>
  <c r="D89" i="42"/>
  <c r="D840" i="94"/>
  <c r="J284" i="94"/>
  <c r="M33" i="47"/>
  <c r="J31" i="47"/>
  <c r="J258" i="94"/>
  <c r="L488" i="94"/>
  <c r="L62" i="47"/>
  <c r="L553" i="94"/>
  <c r="H606" i="94"/>
  <c r="H77" i="47"/>
  <c r="H736" i="94"/>
  <c r="L632" i="94"/>
  <c r="L77" i="47"/>
  <c r="L736" i="94"/>
  <c r="L818" i="94"/>
  <c r="L89" i="47"/>
  <c r="L844" i="94"/>
  <c r="F749" i="94"/>
  <c r="M80" i="62"/>
  <c r="G762" i="94"/>
  <c r="G84" i="62"/>
  <c r="G801" i="94" s="1"/>
  <c r="M81" i="62"/>
  <c r="G909" i="94"/>
  <c r="M96" i="62"/>
  <c r="H10" i="78"/>
  <c r="AD11" i="100"/>
  <c r="D36" i="2"/>
  <c r="L311" i="94"/>
  <c r="L1007" i="94" s="1"/>
  <c r="K18" i="22"/>
  <c r="K91" i="94"/>
  <c r="I62" i="17"/>
  <c r="I545" i="94"/>
  <c r="H84" i="22"/>
  <c r="H793" i="94"/>
  <c r="L236" i="94"/>
  <c r="L184" i="94"/>
  <c r="L31" i="17"/>
  <c r="L250" i="94"/>
  <c r="L315" i="94"/>
  <c r="D452" i="94"/>
  <c r="M53" i="17"/>
  <c r="K62" i="17"/>
  <c r="K545" i="94"/>
  <c r="K467" i="94"/>
  <c r="E572" i="94"/>
  <c r="E77" i="17"/>
  <c r="E728" i="94"/>
  <c r="K810" i="94"/>
  <c r="K89" i="17"/>
  <c r="K836" i="94"/>
  <c r="E182" i="94"/>
  <c r="M25" i="22"/>
  <c r="I17" i="97"/>
  <c r="L117" i="22"/>
  <c r="M25" i="27"/>
  <c r="M38" i="27"/>
  <c r="X14" i="100"/>
  <c r="D340" i="94"/>
  <c r="E62" i="27"/>
  <c r="E544" i="94"/>
  <c r="E466" i="94"/>
  <c r="J62" i="27"/>
  <c r="J544" i="94"/>
  <c r="E66" i="94"/>
  <c r="M14" i="32"/>
  <c r="G29" i="32"/>
  <c r="G237" i="94"/>
  <c r="G159" i="94"/>
  <c r="G18" i="32"/>
  <c r="G94" i="94"/>
  <c r="L481" i="94"/>
  <c r="L62" i="32"/>
  <c r="L546" i="94"/>
  <c r="D573" i="94"/>
  <c r="O65" i="32"/>
  <c r="S65" i="32"/>
  <c r="L770" i="94"/>
  <c r="L84" i="32"/>
  <c r="L796" i="94"/>
  <c r="M97" i="37"/>
  <c r="I602" i="94"/>
  <c r="I77" i="42"/>
  <c r="I732" i="94"/>
  <c r="F697" i="94"/>
  <c r="D73" i="46"/>
  <c r="L20" i="94"/>
  <c r="L15" i="84"/>
  <c r="L85" i="94"/>
  <c r="I165" i="94"/>
  <c r="I29" i="84"/>
  <c r="I243" i="94"/>
  <c r="G178" i="94"/>
  <c r="G180" i="94"/>
  <c r="G996" i="94" s="1"/>
  <c r="G29" i="84"/>
  <c r="G243" i="94"/>
  <c r="D322" i="94"/>
  <c r="D42" i="84"/>
  <c r="D400" i="94"/>
  <c r="D500" i="94"/>
  <c r="M58" i="84"/>
  <c r="B34" i="83"/>
  <c r="I513" i="94"/>
  <c r="I62" i="84"/>
  <c r="I552" i="94"/>
  <c r="G526" i="94"/>
  <c r="G62" i="84"/>
  <c r="G552" i="94"/>
  <c r="F16" i="94"/>
  <c r="K219" i="94"/>
  <c r="K999" i="94" s="1"/>
  <c r="H285" i="94"/>
  <c r="H1005" i="94" s="1"/>
  <c r="J541" i="94"/>
  <c r="J1033" i="94" s="1"/>
  <c r="M136" i="94"/>
  <c r="H17" i="100"/>
  <c r="F106" i="94"/>
  <c r="F18" i="17"/>
  <c r="F93" i="94"/>
  <c r="M21" i="17"/>
  <c r="H12" i="100"/>
  <c r="I263" i="94"/>
  <c r="I31" i="17"/>
  <c r="I250" i="94"/>
  <c r="F31" i="17"/>
  <c r="F250" i="94"/>
  <c r="F289" i="94"/>
  <c r="M37" i="17"/>
  <c r="J328" i="94"/>
  <c r="J393" i="94"/>
  <c r="F380" i="94"/>
  <c r="G506" i="94"/>
  <c r="G515" i="94"/>
  <c r="G1031" i="94" s="1"/>
  <c r="E637" i="94"/>
  <c r="O70" i="17"/>
  <c r="S70" i="17"/>
  <c r="D50" i="94"/>
  <c r="M13" i="22"/>
  <c r="F31" i="22"/>
  <c r="F248" i="94"/>
  <c r="F888" i="94"/>
  <c r="F899" i="94"/>
  <c r="F1068" i="94" s="1"/>
  <c r="M95" i="22"/>
  <c r="H83" i="65"/>
  <c r="M21" i="27"/>
  <c r="K77" i="27"/>
  <c r="K727" i="94"/>
  <c r="H18" i="32"/>
  <c r="H94" i="94"/>
  <c r="H29" i="32"/>
  <c r="H237" i="94"/>
  <c r="F681" i="94"/>
  <c r="D50" i="36"/>
  <c r="D895" i="94"/>
  <c r="M95" i="37"/>
  <c r="M895" i="94"/>
  <c r="K284" i="94"/>
  <c r="K31" i="47"/>
  <c r="K258" i="94"/>
  <c r="D580" i="94"/>
  <c r="O65" i="47"/>
  <c r="S65" i="47"/>
  <c r="G593" i="94"/>
  <c r="O66" i="47"/>
  <c r="S66" i="47"/>
  <c r="I473" i="94"/>
  <c r="M56" i="62"/>
  <c r="G486" i="94"/>
  <c r="G62" i="62"/>
  <c r="G551" i="94" s="1"/>
  <c r="L749" i="94"/>
  <c r="L84" i="62"/>
  <c r="L801" i="94" s="1"/>
  <c r="G20" i="94"/>
  <c r="G15" i="84"/>
  <c r="G85" i="94"/>
  <c r="E587" i="94"/>
  <c r="M66" i="92"/>
  <c r="B43" i="91"/>
  <c r="I678" i="94"/>
  <c r="M73" i="92"/>
  <c r="Y73" i="92"/>
  <c r="L118" i="14"/>
  <c r="X18" i="100"/>
  <c r="H31" i="17"/>
  <c r="H250" i="94"/>
  <c r="E532" i="94"/>
  <c r="H11" i="78"/>
  <c r="AD12" i="100"/>
  <c r="D63" i="94"/>
  <c r="M14" i="22"/>
  <c r="H791" i="94"/>
  <c r="H1056" i="94" s="1"/>
  <c r="G612" i="94"/>
  <c r="O68" i="32"/>
  <c r="E761" i="94"/>
  <c r="M81" i="37"/>
  <c r="I345" i="94"/>
  <c r="I42" i="42"/>
  <c r="I397" i="94"/>
  <c r="F179" i="94"/>
  <c r="M24" i="47"/>
  <c r="M179" i="94"/>
  <c r="I375" i="94"/>
  <c r="I42" i="47"/>
  <c r="H321" i="94"/>
  <c r="H31" i="62"/>
  <c r="H256" i="94"/>
  <c r="G721" i="94"/>
  <c r="G724" i="94"/>
  <c r="G1049" i="94" s="1"/>
  <c r="G77" i="62"/>
  <c r="G734" i="94" s="1"/>
  <c r="S66" i="27"/>
  <c r="D11" i="68"/>
  <c r="G158" i="94"/>
  <c r="G236" i="94"/>
  <c r="M32" i="17"/>
  <c r="L620" i="94"/>
  <c r="L1041" i="94" s="1"/>
  <c r="L115" i="22"/>
  <c r="L821" i="94"/>
  <c r="L89" i="22"/>
  <c r="L834" i="94"/>
  <c r="F29" i="27"/>
  <c r="F44" i="27"/>
  <c r="F406" i="94"/>
  <c r="M37" i="27"/>
  <c r="E42" i="27"/>
  <c r="M40" i="27"/>
  <c r="H431" i="94"/>
  <c r="H1019" i="94" s="1"/>
  <c r="M53" i="27"/>
  <c r="K62" i="27"/>
  <c r="K544" i="94"/>
  <c r="J597" i="94"/>
  <c r="J77" i="27"/>
  <c r="J727" i="94"/>
  <c r="D636" i="94"/>
  <c r="O70" i="27"/>
  <c r="S70" i="27"/>
  <c r="E822" i="94"/>
  <c r="E89" i="27"/>
  <c r="E835" i="94"/>
  <c r="M97" i="32"/>
  <c r="G917" i="94"/>
  <c r="E320" i="94"/>
  <c r="M36" i="37"/>
  <c r="L765" i="94"/>
  <c r="L1054" i="94" s="1"/>
  <c r="G84" i="37"/>
  <c r="G800" i="94"/>
  <c r="AE16" i="100"/>
  <c r="I15" i="78"/>
  <c r="H363" i="94"/>
  <c r="H1011" i="94" s="1"/>
  <c r="I32" i="94"/>
  <c r="I15" i="62"/>
  <c r="I84" i="94" s="1"/>
  <c r="D138" i="94"/>
  <c r="M21" i="62"/>
  <c r="H19" i="100" s="1"/>
  <c r="K29" i="22"/>
  <c r="G62" i="22"/>
  <c r="G543" i="94"/>
  <c r="M28" i="17"/>
  <c r="M38" i="17"/>
  <c r="R28" i="17"/>
  <c r="D13" i="21"/>
  <c r="F50" i="94"/>
  <c r="K77" i="22"/>
  <c r="K726" i="94"/>
  <c r="K607" i="94"/>
  <c r="K1040" i="94" s="1"/>
  <c r="K925" i="94"/>
  <c r="K1070" i="94" s="1"/>
  <c r="H22" i="94"/>
  <c r="H982" i="94" s="1"/>
  <c r="M33" i="27"/>
  <c r="D822" i="94"/>
  <c r="D89" i="27"/>
  <c r="D835" i="94"/>
  <c r="D14" i="31"/>
  <c r="F66" i="94"/>
  <c r="G320" i="94"/>
  <c r="G31" i="37"/>
  <c r="G255" i="94"/>
  <c r="E349" i="94"/>
  <c r="E42" i="47"/>
  <c r="E401" i="94"/>
  <c r="L152" i="94"/>
  <c r="L18" i="84"/>
  <c r="L100" i="94"/>
  <c r="H31" i="84"/>
  <c r="H257" i="94"/>
  <c r="B17" i="93"/>
  <c r="L120" i="92"/>
  <c r="L18" i="17"/>
  <c r="L93" i="94"/>
  <c r="F158" i="94"/>
  <c r="J18" i="17"/>
  <c r="J93" i="94"/>
  <c r="K315" i="94"/>
  <c r="G62" i="17"/>
  <c r="G545" i="94"/>
  <c r="G754" i="94"/>
  <c r="M81" i="22"/>
  <c r="L791" i="94"/>
  <c r="L1056" i="94" s="1"/>
  <c r="H912" i="94"/>
  <c r="H1069" i="94" s="1"/>
  <c r="F18" i="27"/>
  <c r="F92" i="94"/>
  <c r="G314" i="94"/>
  <c r="G610" i="94"/>
  <c r="I742" i="94"/>
  <c r="I752" i="94"/>
  <c r="I1053" i="94" s="1"/>
  <c r="I84" i="27"/>
  <c r="I794" i="94"/>
  <c r="H809" i="94"/>
  <c r="H89" i="27"/>
  <c r="H835" i="94"/>
  <c r="L42" i="32"/>
  <c r="L394" i="94"/>
  <c r="M40" i="32"/>
  <c r="D651" i="94"/>
  <c r="O71" i="32"/>
  <c r="S71" i="32"/>
  <c r="G163" i="94"/>
  <c r="G29" i="37"/>
  <c r="G241" i="94"/>
  <c r="L117" i="42"/>
  <c r="H777" i="94"/>
  <c r="M82" i="47"/>
  <c r="F508" i="94"/>
  <c r="D35" i="91"/>
  <c r="F141" i="94"/>
  <c r="F993" i="94" s="1"/>
  <c r="G350" i="94"/>
  <c r="G1010" i="94"/>
  <c r="O65" i="17"/>
  <c r="S65" i="17"/>
  <c r="H646" i="94"/>
  <c r="H1043" i="94" s="1"/>
  <c r="K808" i="94"/>
  <c r="K89" i="22"/>
  <c r="K834" i="94"/>
  <c r="M32" i="27"/>
  <c r="D781" i="94"/>
  <c r="M83" i="27"/>
  <c r="E84" i="32"/>
  <c r="E796" i="94"/>
  <c r="M60" i="27"/>
  <c r="O72" i="27"/>
  <c r="S72" i="27"/>
  <c r="U72" i="27"/>
  <c r="R14" i="74"/>
  <c r="AE14" i="100"/>
  <c r="I13" i="78"/>
  <c r="I811" i="94"/>
  <c r="I89" i="32"/>
  <c r="I837" i="94"/>
  <c r="I14" i="78"/>
  <c r="AE15" i="100"/>
  <c r="L118" i="37"/>
  <c r="E456" i="94"/>
  <c r="M53" i="42"/>
  <c r="M456" i="94"/>
  <c r="E593" i="94"/>
  <c r="U66" i="47"/>
  <c r="I49" i="94"/>
  <c r="I110" i="87"/>
  <c r="I15" i="87"/>
  <c r="I75" i="94"/>
  <c r="F142" i="94"/>
  <c r="F18" i="87"/>
  <c r="F90" i="94"/>
  <c r="M22" i="87"/>
  <c r="G260" i="94"/>
  <c r="M32" i="87"/>
  <c r="G31" i="87"/>
  <c r="G247" i="94"/>
  <c r="E464" i="94"/>
  <c r="E62" i="87"/>
  <c r="E542" i="94"/>
  <c r="J439" i="94"/>
  <c r="J446" i="94"/>
  <c r="J1022" i="94" s="1"/>
  <c r="M50" i="92"/>
  <c r="J724" i="94"/>
  <c r="J1049" i="94"/>
  <c r="L118" i="17"/>
  <c r="E925" i="94"/>
  <c r="E1070" i="94" s="1"/>
  <c r="H62" i="42"/>
  <c r="H549" i="94"/>
  <c r="H523" i="94"/>
  <c r="H528" i="94"/>
  <c r="H1032" i="94"/>
  <c r="J13" i="78"/>
  <c r="M59" i="87"/>
  <c r="B35" i="86"/>
  <c r="E165" i="94"/>
  <c r="J29" i="84"/>
  <c r="J243" i="94"/>
  <c r="J513" i="94"/>
  <c r="J62" i="84"/>
  <c r="J552" i="94"/>
  <c r="G108" i="94"/>
  <c r="M19" i="92"/>
  <c r="F22" i="100"/>
  <c r="K160" i="94"/>
  <c r="K18" i="92"/>
  <c r="K95" i="94"/>
  <c r="L199" i="94"/>
  <c r="L206" i="94"/>
  <c r="L998" i="94" s="1"/>
  <c r="M26" i="92"/>
  <c r="M22" i="100"/>
  <c r="E330" i="94"/>
  <c r="E42" i="92"/>
  <c r="E395" i="94"/>
  <c r="O69" i="22"/>
  <c r="S69" i="22"/>
  <c r="H12" i="78"/>
  <c r="AD13" i="100"/>
  <c r="J646" i="94"/>
  <c r="J1043" i="94" s="1"/>
  <c r="L112" i="32"/>
  <c r="M949" i="94"/>
  <c r="M351" i="94"/>
  <c r="M41" i="84"/>
  <c r="AA20" i="100"/>
  <c r="E474" i="94"/>
  <c r="E62" i="84"/>
  <c r="E552" i="94"/>
  <c r="H487" i="94"/>
  <c r="H62" i="84"/>
  <c r="H552" i="94"/>
  <c r="F500" i="94"/>
  <c r="D34" i="83"/>
  <c r="L634" i="94"/>
  <c r="M70" i="87"/>
  <c r="E67" i="94"/>
  <c r="E15" i="92"/>
  <c r="E80" i="94"/>
  <c r="I369" i="94"/>
  <c r="M40" i="92"/>
  <c r="Z22" i="100"/>
  <c r="I758" i="94"/>
  <c r="M81" i="92"/>
  <c r="Z64" i="65"/>
  <c r="F812" i="94"/>
  <c r="F89" i="92"/>
  <c r="F838" i="94"/>
  <c r="M87" i="92"/>
  <c r="D825" i="94"/>
  <c r="I12" i="78"/>
  <c r="AE13" i="100"/>
  <c r="H13" i="78"/>
  <c r="AD14" i="100"/>
  <c r="L119" i="37"/>
  <c r="H15" i="78"/>
  <c r="V82" i="65"/>
  <c r="I108" i="94"/>
  <c r="I18" i="92"/>
  <c r="I95" i="94"/>
  <c r="M14" i="84"/>
  <c r="B14" i="83"/>
  <c r="F582" i="94"/>
  <c r="M66" i="87"/>
  <c r="B43" i="86"/>
  <c r="D43" i="86"/>
  <c r="F77" i="87"/>
  <c r="F725" i="94"/>
  <c r="K740" i="94"/>
  <c r="M80" i="87"/>
  <c r="X63" i="65"/>
  <c r="K84" i="87"/>
  <c r="K792" i="94"/>
  <c r="F110" i="92"/>
  <c r="H395" i="94"/>
  <c r="D717" i="94"/>
  <c r="D77" i="92"/>
  <c r="D730" i="94"/>
  <c r="L118" i="22"/>
  <c r="H685" i="94"/>
  <c r="H1046" i="94" s="1"/>
  <c r="H16" i="78"/>
  <c r="AD17" i="100"/>
  <c r="K84" i="84"/>
  <c r="K802" i="94"/>
  <c r="K763" i="94"/>
  <c r="E449" i="94"/>
  <c r="M53" i="87"/>
  <c r="E73" i="86"/>
  <c r="F779" i="94"/>
  <c r="F84" i="87"/>
  <c r="F792" i="94"/>
  <c r="H77" i="92"/>
  <c r="H730" i="94"/>
  <c r="H600" i="94"/>
  <c r="M67" i="92"/>
  <c r="B44" i="91"/>
  <c r="H14" i="78"/>
  <c r="AD15" i="100"/>
  <c r="H18" i="78"/>
  <c r="J14" i="78"/>
  <c r="U66" i="84"/>
  <c r="H84" i="84"/>
  <c r="H802" i="94"/>
  <c r="S67" i="92"/>
  <c r="E72" i="94"/>
  <c r="E15" i="84"/>
  <c r="E42" i="84"/>
  <c r="L42" i="84"/>
  <c r="L400" i="94"/>
  <c r="E579" i="94"/>
  <c r="U65" i="84"/>
  <c r="D631" i="94"/>
  <c r="G181" i="94"/>
  <c r="M25" i="87"/>
  <c r="E712" i="94"/>
  <c r="D54" i="94"/>
  <c r="D15" i="92"/>
  <c r="D80" i="94"/>
  <c r="AA22" i="100"/>
  <c r="E626" i="94"/>
  <c r="M69" i="92"/>
  <c r="Y69" i="92"/>
  <c r="E652" i="94"/>
  <c r="L117" i="47"/>
  <c r="J10" i="78"/>
  <c r="AF11" i="100"/>
  <c r="H15" i="84"/>
  <c r="D15" i="84"/>
  <c r="D85" i="94"/>
  <c r="J33" i="94"/>
  <c r="J15" i="84"/>
  <c r="K178" i="94"/>
  <c r="K29" i="84"/>
  <c r="K243" i="94"/>
  <c r="H605" i="94"/>
  <c r="M67" i="84"/>
  <c r="Y67" i="84"/>
  <c r="G830" i="94"/>
  <c r="G89" i="84"/>
  <c r="G843" i="94"/>
  <c r="M88" i="84"/>
  <c r="K10" i="94"/>
  <c r="K15" i="87"/>
  <c r="K75" i="94"/>
  <c r="G129" i="94"/>
  <c r="G18" i="87"/>
  <c r="G90" i="94"/>
  <c r="L168" i="94"/>
  <c r="L29" i="87"/>
  <c r="L233" i="94"/>
  <c r="M68" i="87"/>
  <c r="X51" i="65"/>
  <c r="U68" i="87"/>
  <c r="F660" i="94"/>
  <c r="D49" i="86"/>
  <c r="M72" i="87"/>
  <c r="D807" i="94"/>
  <c r="D89" i="87"/>
  <c r="D833" i="94"/>
  <c r="F15" i="94"/>
  <c r="I31" i="92"/>
  <c r="I252" i="94"/>
  <c r="D639" i="94"/>
  <c r="O70" i="92"/>
  <c r="S70" i="92"/>
  <c r="U70" i="92"/>
  <c r="S71" i="92"/>
  <c r="K892" i="94"/>
  <c r="M95" i="92"/>
  <c r="M892" i="94"/>
  <c r="M21" i="47"/>
  <c r="H18" i="100"/>
  <c r="D61" i="83"/>
  <c r="P75" i="84"/>
  <c r="G592" i="94"/>
  <c r="O66" i="84"/>
  <c r="S66" i="84"/>
  <c r="G897" i="94"/>
  <c r="M95" i="84"/>
  <c r="L10" i="94"/>
  <c r="L15" i="87"/>
  <c r="L75" i="94"/>
  <c r="L116" i="94"/>
  <c r="L18" i="87"/>
  <c r="L90" i="94"/>
  <c r="D220" i="94"/>
  <c r="M28" i="87"/>
  <c r="K273" i="94"/>
  <c r="K31" i="87"/>
  <c r="K247" i="94"/>
  <c r="I569" i="94"/>
  <c r="I77" i="87"/>
  <c r="I725" i="94"/>
  <c r="D595" i="94"/>
  <c r="O67" i="87"/>
  <c r="S67" i="87"/>
  <c r="M67" i="87"/>
  <c r="X50" i="65"/>
  <c r="D699" i="94"/>
  <c r="U75" i="87"/>
  <c r="G740" i="94"/>
  <c r="G84" i="87"/>
  <c r="G792" i="94"/>
  <c r="M945" i="94"/>
  <c r="L112" i="87"/>
  <c r="D534" i="94"/>
  <c r="D62" i="92"/>
  <c r="D547" i="94"/>
  <c r="K745" i="94"/>
  <c r="M80" i="92"/>
  <c r="B57" i="91"/>
  <c r="F57" i="91"/>
  <c r="K84" i="92"/>
  <c r="K797" i="94"/>
  <c r="I21" i="78"/>
  <c r="AE22" i="100"/>
  <c r="U21" i="73"/>
  <c r="R21" i="74"/>
  <c r="L270" i="94"/>
  <c r="L31" i="84"/>
  <c r="L257" i="94"/>
  <c r="L117" i="84"/>
  <c r="F763" i="94"/>
  <c r="F84" i="84"/>
  <c r="F802" i="94"/>
  <c r="E647" i="94"/>
  <c r="U71" i="87"/>
  <c r="O71" i="87"/>
  <c r="S71" i="87"/>
  <c r="H186" i="94"/>
  <c r="H29" i="92"/>
  <c r="H238" i="94"/>
  <c r="J199" i="94"/>
  <c r="J29" i="92"/>
  <c r="J238" i="94"/>
  <c r="G212" i="94"/>
  <c r="M27" i="92"/>
  <c r="N22" i="100"/>
  <c r="J495" i="94"/>
  <c r="J62" i="92"/>
  <c r="J547" i="94"/>
  <c r="H825" i="94"/>
  <c r="H89" i="92"/>
  <c r="H838" i="94"/>
  <c r="H807" i="94"/>
  <c r="H745" i="94"/>
  <c r="H84" i="92"/>
  <c r="H797" i="94"/>
  <c r="M94" i="92"/>
  <c r="J12" i="78"/>
  <c r="J16" i="78"/>
  <c r="G62" i="87"/>
  <c r="G542" i="94"/>
  <c r="G464" i="94"/>
  <c r="H84" i="87"/>
  <c r="H792" i="94"/>
  <c r="L118" i="62"/>
  <c r="J807" i="94"/>
  <c r="J89" i="87"/>
  <c r="J833" i="94"/>
  <c r="H20" i="78"/>
  <c r="AD21" i="100"/>
  <c r="F521" i="94"/>
  <c r="D36" i="91"/>
  <c r="L115" i="92"/>
  <c r="H18" i="87"/>
  <c r="H90" i="94"/>
  <c r="J29" i="87"/>
  <c r="J233" i="94"/>
  <c r="J20" i="78"/>
  <c r="AF21" i="100"/>
  <c r="M97" i="87"/>
  <c r="D24" i="74"/>
  <c r="AA6" i="65"/>
  <c r="AA7" i="65" s="1"/>
  <c r="R22" i="99"/>
  <c r="R16" i="99"/>
  <c r="G21" i="80"/>
  <c r="C11" i="57"/>
  <c r="K89" i="72"/>
  <c r="K93" i="72"/>
  <c r="F226" i="94"/>
  <c r="M28" i="14"/>
  <c r="O11" i="100"/>
  <c r="S68" i="14"/>
  <c r="B815" i="94"/>
  <c r="B603" i="94"/>
  <c r="B385" i="94"/>
  <c r="B720" i="94"/>
  <c r="B57" i="94"/>
  <c r="B828" i="94"/>
  <c r="B70" i="94"/>
  <c r="B668" i="94"/>
  <c r="B855" i="94"/>
  <c r="I2" i="37"/>
  <c r="A14" i="57"/>
  <c r="B761" i="94"/>
  <c r="B550" i="94"/>
  <c r="B333" i="94"/>
  <c r="B215" i="94"/>
  <c r="B774" i="94"/>
  <c r="B398" i="94"/>
  <c r="B18" i="94"/>
  <c r="B966" i="94"/>
  <c r="B346" i="94"/>
  <c r="B895" i="94"/>
  <c r="B681" i="94"/>
  <c r="B472" i="94"/>
  <c r="B255" i="94"/>
  <c r="B137" i="94"/>
  <c r="B800" i="94"/>
  <c r="B150" i="94"/>
  <c r="B294" i="94"/>
  <c r="B485" i="94"/>
  <c r="B953" i="94"/>
  <c r="B629" i="94"/>
  <c r="B281" i="94"/>
  <c r="B31" i="94"/>
  <c r="B124" i="94"/>
  <c r="B694" i="94"/>
  <c r="B921" i="94"/>
  <c r="B577" i="94"/>
  <c r="B228" i="94"/>
  <c r="B563" i="94"/>
  <c r="B98" i="94"/>
  <c r="B457" i="94"/>
  <c r="B869" i="94"/>
  <c r="B524" i="94"/>
  <c r="B934" i="94"/>
  <c r="B241" i="94"/>
  <c r="B44" i="94"/>
  <c r="B320" i="94"/>
  <c r="B733" i="94"/>
  <c r="B412" i="94"/>
  <c r="B163" i="94"/>
  <c r="B616" i="94"/>
  <c r="B642" i="94"/>
  <c r="L122" i="37"/>
  <c r="B707" i="94"/>
  <c r="B111" i="94"/>
  <c r="B268" i="94"/>
  <c r="B655" i="94"/>
  <c r="B83" i="94"/>
  <c r="B882" i="94"/>
  <c r="B498" i="94"/>
  <c r="B590" i="94"/>
  <c r="B748" i="94"/>
  <c r="B841" i="94"/>
  <c r="B511" i="94"/>
  <c r="B908" i="94"/>
  <c r="F4" i="65"/>
  <c r="H12" i="98"/>
  <c r="I10" i="78"/>
  <c r="R11" i="74"/>
  <c r="F266" i="94"/>
  <c r="F31" i="14"/>
  <c r="F253" i="94"/>
  <c r="F31" i="63"/>
  <c r="B537" i="94"/>
  <c r="B787" i="94"/>
  <c r="K18" i="14"/>
  <c r="K96" i="94"/>
  <c r="D292" i="94"/>
  <c r="D31" i="14"/>
  <c r="M34" i="14"/>
  <c r="H14" i="98"/>
  <c r="J4" i="65"/>
  <c r="M906" i="94"/>
  <c r="B372" i="94"/>
  <c r="E77" i="27"/>
  <c r="E727" i="94"/>
  <c r="E110" i="27"/>
  <c r="E701" i="94"/>
  <c r="L701" i="94"/>
  <c r="L711" i="94"/>
  <c r="L1048" i="94" s="1"/>
  <c r="L110" i="27"/>
  <c r="E768" i="94"/>
  <c r="E778" i="94"/>
  <c r="E1055" i="94" s="1"/>
  <c r="E84" i="27"/>
  <c r="E794" i="94"/>
  <c r="F809" i="94"/>
  <c r="D64" i="26"/>
  <c r="D66" i="26"/>
  <c r="M87" i="27"/>
  <c r="F89" i="27"/>
  <c r="F835" i="94"/>
  <c r="F110" i="27"/>
  <c r="D346" i="94"/>
  <c r="M38" i="37"/>
  <c r="X16" i="100"/>
  <c r="D42" i="37"/>
  <c r="E385" i="94"/>
  <c r="M41" i="37"/>
  <c r="AA16" i="100"/>
  <c r="L472" i="94"/>
  <c r="L62" i="37"/>
  <c r="L550" i="94"/>
  <c r="J485" i="94"/>
  <c r="J62" i="37"/>
  <c r="J550" i="94"/>
  <c r="F511" i="94"/>
  <c r="D35" i="36"/>
  <c r="F62" i="37"/>
  <c r="F550" i="94"/>
  <c r="D524" i="94"/>
  <c r="D528" i="94"/>
  <c r="D1032" i="94" s="1"/>
  <c r="M60" i="37"/>
  <c r="D110" i="37"/>
  <c r="D62" i="37"/>
  <c r="F616" i="94"/>
  <c r="F77" i="37"/>
  <c r="F733" i="94"/>
  <c r="D45" i="36"/>
  <c r="U68" i="37"/>
  <c r="E14" i="95"/>
  <c r="E22" i="95"/>
  <c r="P75" i="37"/>
  <c r="L115" i="37"/>
  <c r="E227" i="94"/>
  <c r="M28" i="42"/>
  <c r="O17" i="100"/>
  <c r="F280" i="94"/>
  <c r="F31" i="42"/>
  <c r="F254" i="94"/>
  <c r="M33" i="42"/>
  <c r="F110" i="42"/>
  <c r="D345" i="94"/>
  <c r="M38" i="42"/>
  <c r="X17" i="100"/>
  <c r="D42" i="42"/>
  <c r="F371" i="94"/>
  <c r="F42" i="42"/>
  <c r="M40" i="42"/>
  <c r="Z17" i="100"/>
  <c r="E471" i="94"/>
  <c r="M56" i="42"/>
  <c r="E62" i="42"/>
  <c r="E549" i="94"/>
  <c r="G497" i="94"/>
  <c r="M58" i="42"/>
  <c r="G62" i="42"/>
  <c r="G549" i="94"/>
  <c r="B189" i="94"/>
  <c r="U19" i="73"/>
  <c r="L226" i="94"/>
  <c r="L29" i="14"/>
  <c r="L239" i="94"/>
  <c r="L110" i="14"/>
  <c r="K266" i="94"/>
  <c r="K31" i="14"/>
  <c r="K253" i="94"/>
  <c r="D588" i="94"/>
  <c r="U66" i="14"/>
  <c r="D77" i="14"/>
  <c r="M66" i="14"/>
  <c r="K588" i="94"/>
  <c r="K77" i="14"/>
  <c r="K731" i="94"/>
  <c r="G614" i="94"/>
  <c r="U68" i="14"/>
  <c r="M68" i="14"/>
  <c r="G77" i="14"/>
  <c r="G731" i="94"/>
  <c r="E679" i="94"/>
  <c r="U73" i="14"/>
  <c r="E77" i="14"/>
  <c r="E731" i="94"/>
  <c r="O73" i="14"/>
  <c r="S73" i="14"/>
  <c r="D780" i="94"/>
  <c r="M83" i="22"/>
  <c r="I808" i="94"/>
  <c r="I89" i="22"/>
  <c r="I834" i="94"/>
  <c r="M87" i="22"/>
  <c r="D25" i="94"/>
  <c r="M11" i="27"/>
  <c r="D110" i="27"/>
  <c r="G675" i="94"/>
  <c r="G685" i="94"/>
  <c r="G1046" i="94" s="1"/>
  <c r="O73" i="27"/>
  <c r="S73" i="27"/>
  <c r="U73" i="27"/>
  <c r="G77" i="27"/>
  <c r="G727" i="94"/>
  <c r="G110" i="27"/>
  <c r="M73" i="27"/>
  <c r="M148" i="94"/>
  <c r="D111" i="40"/>
  <c r="B307" i="94"/>
  <c r="J110" i="14"/>
  <c r="J15" i="14"/>
  <c r="J16" i="94"/>
  <c r="H305" i="94"/>
  <c r="H31" i="14"/>
  <c r="H253" i="94"/>
  <c r="H62" i="14"/>
  <c r="H548" i="94"/>
  <c r="M57" i="14"/>
  <c r="H483" i="94"/>
  <c r="T4" i="65"/>
  <c r="L120" i="14"/>
  <c r="B17" i="6"/>
  <c r="L29" i="94"/>
  <c r="L35" i="94"/>
  <c r="L983" i="94" s="1"/>
  <c r="L15" i="14"/>
  <c r="D14" i="2"/>
  <c r="F110" i="14"/>
  <c r="F68" i="94"/>
  <c r="Y67" i="42"/>
  <c r="M602" i="94"/>
  <c r="J842" i="94"/>
  <c r="M55" i="94"/>
  <c r="F17" i="73"/>
  <c r="B808" i="94"/>
  <c r="B596" i="94"/>
  <c r="B378" i="94"/>
  <c r="B234" i="94"/>
  <c r="B261" i="94"/>
  <c r="B37" i="94"/>
  <c r="B274" i="94"/>
  <c r="B130" i="94"/>
  <c r="B635" i="94"/>
  <c r="A7" i="57"/>
  <c r="B754" i="94"/>
  <c r="B543" i="94"/>
  <c r="B326" i="94"/>
  <c r="B661" i="94"/>
  <c r="B195" i="94"/>
  <c r="B927" i="94"/>
  <c r="B182" i="94"/>
  <c r="B208" i="94"/>
  <c r="B76" i="94"/>
  <c r="B888" i="94"/>
  <c r="B674" i="94"/>
  <c r="B465" i="94"/>
  <c r="B609" i="94"/>
  <c r="B901" i="94"/>
  <c r="B117" i="94"/>
  <c r="B313" i="94"/>
  <c r="B248" i="94"/>
  <c r="B50" i="94"/>
  <c r="P13" i="22"/>
  <c r="B700" i="94"/>
  <c r="B352" i="94"/>
  <c r="B687" i="94"/>
  <c r="B713" i="94"/>
  <c r="B793" i="94"/>
  <c r="B648" i="94"/>
  <c r="B300" i="94"/>
  <c r="B478" i="94"/>
  <c r="B504" i="94"/>
  <c r="B583" i="94"/>
  <c r="I2" i="22"/>
  <c r="B946" i="94"/>
  <c r="B622" i="94"/>
  <c r="B821" i="94"/>
  <c r="B221" i="94"/>
  <c r="B848" i="94"/>
  <c r="B156" i="94"/>
  <c r="B834" i="94"/>
  <c r="B491" i="94"/>
  <c r="B875" i="94"/>
  <c r="B91" i="94"/>
  <c r="B556" i="94"/>
  <c r="B959" i="94"/>
  <c r="H15" i="98"/>
  <c r="L4" i="65"/>
  <c r="E200" i="94"/>
  <c r="M26" i="14"/>
  <c r="M11" i="100"/>
  <c r="D213" i="94"/>
  <c r="D219" i="94"/>
  <c r="D999" i="94" s="1"/>
  <c r="M27" i="14"/>
  <c r="N11" i="100"/>
  <c r="D66" i="50"/>
  <c r="K161" i="94"/>
  <c r="K29" i="14"/>
  <c r="K239" i="94"/>
  <c r="F187" i="94"/>
  <c r="F29" i="14"/>
  <c r="M25" i="14"/>
  <c r="L11" i="100"/>
  <c r="F509" i="94"/>
  <c r="D35" i="2"/>
  <c r="F62" i="14"/>
  <c r="F548" i="94"/>
  <c r="M59" i="14"/>
  <c r="K235" i="94"/>
  <c r="L119" i="14"/>
  <c r="D18" i="14"/>
  <c r="D161" i="94"/>
  <c r="D29" i="14"/>
  <c r="M23" i="14"/>
  <c r="J11" i="100"/>
  <c r="D110" i="14"/>
  <c r="I62" i="14"/>
  <c r="I548" i="94"/>
  <c r="I535" i="94"/>
  <c r="M61" i="14"/>
  <c r="I2" i="47"/>
  <c r="B566" i="94"/>
  <c r="B192" i="94"/>
  <c r="B911" i="94"/>
  <c r="B375" i="94"/>
  <c r="B658" i="94"/>
  <c r="B796" i="94"/>
  <c r="B586" i="94"/>
  <c r="B368" i="94"/>
  <c r="B438" i="94"/>
  <c r="B40" i="94"/>
  <c r="B303" i="94"/>
  <c r="B133" i="94"/>
  <c r="B381" i="94"/>
  <c r="B468" i="94"/>
  <c r="B962" i="94"/>
  <c r="B744" i="94"/>
  <c r="B533" i="94"/>
  <c r="B316" i="94"/>
  <c r="B198" i="94"/>
  <c r="B917" i="94"/>
  <c r="A10" i="57"/>
  <c r="B79" i="94"/>
  <c r="B277" i="94"/>
  <c r="B573" i="94"/>
  <c r="B878" i="94"/>
  <c r="B664" i="94"/>
  <c r="B453" i="94"/>
  <c r="B237" i="94"/>
  <c r="B120" i="94"/>
  <c r="B949" i="94"/>
  <c r="B211" i="94"/>
  <c r="B677" i="94"/>
  <c r="B408" i="94"/>
  <c r="I2" i="32"/>
  <c r="E266" i="94"/>
  <c r="E31" i="14"/>
  <c r="E253" i="94"/>
  <c r="B218" i="94"/>
  <c r="B60" i="94"/>
  <c r="B127" i="94"/>
  <c r="B231" i="94"/>
  <c r="B445" i="94"/>
  <c r="B810" i="94"/>
  <c r="B598" i="94"/>
  <c r="B380" i="94"/>
  <c r="B506" i="94"/>
  <c r="B302" i="94"/>
  <c r="B903" i="94"/>
  <c r="B26" i="94"/>
  <c r="B689" i="94"/>
  <c r="B78" i="94"/>
  <c r="A9" i="57"/>
  <c r="B756" i="94"/>
  <c r="B545" i="94"/>
  <c r="B663" i="94"/>
  <c r="B315" i="94"/>
  <c r="B250" i="94"/>
  <c r="B210" i="94"/>
  <c r="B422" i="94"/>
  <c r="B223" i="94"/>
  <c r="B850" i="94"/>
  <c r="I2" i="17"/>
  <c r="B890" i="94"/>
  <c r="B676" i="94"/>
  <c r="B467" i="94"/>
  <c r="B341" i="94"/>
  <c r="B532" i="94"/>
  <c r="B145" i="94"/>
  <c r="B52" i="94"/>
  <c r="B132" i="94"/>
  <c r="B65" i="94"/>
  <c r="D83" i="94"/>
  <c r="F840" i="94"/>
  <c r="G161" i="94"/>
  <c r="G29" i="14"/>
  <c r="G18" i="14"/>
  <c r="G96" i="94"/>
  <c r="H187" i="94"/>
  <c r="H29" i="14"/>
  <c r="I31" i="14"/>
  <c r="I253" i="94"/>
  <c r="I266" i="94"/>
  <c r="D248" i="94"/>
  <c r="B818" i="94"/>
  <c r="B606" i="94"/>
  <c r="B388" i="94"/>
  <c r="B362" i="94"/>
  <c r="B697" i="94"/>
  <c r="B73" i="94"/>
  <c r="B751" i="94"/>
  <c r="B297" i="94"/>
  <c r="B514" i="94"/>
  <c r="A17" i="57"/>
  <c r="B764" i="94"/>
  <c r="B553" i="94"/>
  <c r="B593" i="94"/>
  <c r="B271" i="94"/>
  <c r="B336" i="94"/>
  <c r="B969" i="94"/>
  <c r="B166" i="94"/>
  <c r="B831" i="94"/>
  <c r="B540" i="94"/>
  <c r="B898" i="94"/>
  <c r="B684" i="94"/>
  <c r="B475" i="94"/>
  <c r="B858" i="94"/>
  <c r="B671" i="94"/>
  <c r="B619" i="94"/>
  <c r="B140" i="94"/>
  <c r="B777" i="94"/>
  <c r="B153" i="94"/>
  <c r="K29" i="94"/>
  <c r="K110" i="14"/>
  <c r="K15" i="14"/>
  <c r="J266" i="94"/>
  <c r="J31" i="14"/>
  <c r="J253" i="94"/>
  <c r="D305" i="94"/>
  <c r="M35" i="14"/>
  <c r="H455" i="94"/>
  <c r="H110" i="14"/>
  <c r="K431" i="94"/>
  <c r="K1019" i="94" s="1"/>
  <c r="M20" i="14"/>
  <c r="G11" i="100"/>
  <c r="F18" i="14"/>
  <c r="F96" i="94"/>
  <c r="F161" i="94"/>
  <c r="L18" i="14"/>
  <c r="L96" i="94"/>
  <c r="L161" i="94"/>
  <c r="J528" i="94"/>
  <c r="J1032" i="94" s="1"/>
  <c r="D795" i="94"/>
  <c r="K106" i="94"/>
  <c r="M19" i="17"/>
  <c r="F12" i="100"/>
  <c r="K18" i="17"/>
  <c r="E821" i="94"/>
  <c r="E89" i="22"/>
  <c r="M88" i="22"/>
  <c r="H886" i="94"/>
  <c r="H1067" i="94" s="1"/>
  <c r="D901" i="94"/>
  <c r="M96" i="22"/>
  <c r="K912" i="94"/>
  <c r="K1069" i="94" s="1"/>
  <c r="H914" i="94"/>
  <c r="H925" i="94"/>
  <c r="H1070" i="94"/>
  <c r="M97" i="22"/>
  <c r="E12" i="94"/>
  <c r="E15" i="27"/>
  <c r="P75" i="27"/>
  <c r="L115" i="27"/>
  <c r="L119" i="27"/>
  <c r="H688" i="94"/>
  <c r="M74" i="27"/>
  <c r="H110" i="27"/>
  <c r="H77" i="27"/>
  <c r="H727" i="94"/>
  <c r="J27" i="94"/>
  <c r="J110" i="32"/>
  <c r="J15" i="32"/>
  <c r="F146" i="94"/>
  <c r="M22" i="32"/>
  <c r="I15" i="100"/>
  <c r="K185" i="94"/>
  <c r="K193" i="94"/>
  <c r="K997" i="94" s="1"/>
  <c r="M25" i="32"/>
  <c r="L15" i="100"/>
  <c r="K29" i="32"/>
  <c r="K237" i="94"/>
  <c r="K110" i="32"/>
  <c r="H264" i="94"/>
  <c r="M32" i="32"/>
  <c r="H31" i="32"/>
  <c r="H251" i="94"/>
  <c r="K303" i="94"/>
  <c r="K31" i="32"/>
  <c r="K251" i="94"/>
  <c r="M39" i="32"/>
  <c r="Y15" i="100"/>
  <c r="G355" i="94"/>
  <c r="G42" i="32"/>
  <c r="L110" i="32"/>
  <c r="L423" i="94"/>
  <c r="I438" i="94"/>
  <c r="I110" i="32"/>
  <c r="M50" i="32"/>
  <c r="M58" i="37"/>
  <c r="G62" i="37"/>
  <c r="G550" i="94"/>
  <c r="G498" i="94"/>
  <c r="H590" i="94"/>
  <c r="M66" i="37"/>
  <c r="L31" i="14"/>
  <c r="L253" i="94"/>
  <c r="H161" i="94"/>
  <c r="H18" i="14"/>
  <c r="H96" i="94"/>
  <c r="D279" i="94"/>
  <c r="M33" i="14"/>
  <c r="I110" i="27"/>
  <c r="G86" i="94"/>
  <c r="O14" i="97"/>
  <c r="Q26" i="47"/>
  <c r="M323" i="94"/>
  <c r="M28" i="22"/>
  <c r="O13" i="100"/>
  <c r="F624" i="94"/>
  <c r="D46" i="16"/>
  <c r="F77" i="17"/>
  <c r="F728" i="94"/>
  <c r="K84" i="22"/>
  <c r="K793" i="94"/>
  <c r="K741" i="94"/>
  <c r="I675" i="94"/>
  <c r="I685" i="94"/>
  <c r="I1046" i="94" s="1"/>
  <c r="I77" i="27"/>
  <c r="I727" i="94"/>
  <c r="K688" i="94"/>
  <c r="K110" i="27"/>
  <c r="K494" i="94"/>
  <c r="K62" i="32"/>
  <c r="K546" i="94"/>
  <c r="L586" i="94"/>
  <c r="M66" i="32"/>
  <c r="F599" i="94"/>
  <c r="M67" i="32"/>
  <c r="U67" i="32"/>
  <c r="H612" i="94"/>
  <c r="H620" i="94"/>
  <c r="H1041" i="94" s="1"/>
  <c r="M68" i="32"/>
  <c r="H651" i="94"/>
  <c r="M71" i="32"/>
  <c r="L115" i="32"/>
  <c r="P75" i="32"/>
  <c r="P76" i="32"/>
  <c r="I9" i="81"/>
  <c r="E703" i="94"/>
  <c r="U75" i="32"/>
  <c r="E77" i="32"/>
  <c r="E729" i="94"/>
  <c r="I757" i="94"/>
  <c r="I84" i="32"/>
  <c r="I796" i="94"/>
  <c r="M81" i="32"/>
  <c r="H824" i="94"/>
  <c r="H89" i="32"/>
  <c r="H837" i="94"/>
  <c r="M88" i="32"/>
  <c r="F865" i="94"/>
  <c r="M93" i="32"/>
  <c r="E70" i="94"/>
  <c r="M14" i="37"/>
  <c r="E15" i="37"/>
  <c r="L70" i="94"/>
  <c r="L15" i="37"/>
  <c r="K202" i="94"/>
  <c r="K110" i="37"/>
  <c r="M26" i="37"/>
  <c r="M16" i="100"/>
  <c r="I215" i="94"/>
  <c r="I29" i="37"/>
  <c r="I241" i="94"/>
  <c r="I110" i="37"/>
  <c r="M27" i="37"/>
  <c r="N16" i="100"/>
  <c r="H228" i="94"/>
  <c r="H232" i="94"/>
  <c r="H1000" i="94" s="1"/>
  <c r="M28" i="37"/>
  <c r="O16" i="100"/>
  <c r="E307" i="94"/>
  <c r="M35" i="37"/>
  <c r="U16" i="100"/>
  <c r="G333" i="94"/>
  <c r="G42" i="37"/>
  <c r="D359" i="94"/>
  <c r="M39" i="37"/>
  <c r="Y16" i="100"/>
  <c r="L427" i="94"/>
  <c r="L110" i="37"/>
  <c r="F362" i="94"/>
  <c r="M39" i="47"/>
  <c r="Y18" i="100"/>
  <c r="F42" i="47"/>
  <c r="E514" i="94"/>
  <c r="E515" i="94"/>
  <c r="E1031" i="94" s="1"/>
  <c r="M59" i="47"/>
  <c r="E62" i="47"/>
  <c r="L118" i="47"/>
  <c r="J606" i="94"/>
  <c r="J77" i="47"/>
  <c r="J736" i="94"/>
  <c r="M67" i="47"/>
  <c r="G671" i="94"/>
  <c r="G77" i="47"/>
  <c r="G736" i="94"/>
  <c r="U72" i="47"/>
  <c r="O72" i="47"/>
  <c r="S72" i="47"/>
  <c r="M72" i="47"/>
  <c r="K710" i="94"/>
  <c r="K711" i="94"/>
  <c r="K1048" i="94" s="1"/>
  <c r="K110" i="47"/>
  <c r="F777" i="94"/>
  <c r="F84" i="47"/>
  <c r="F803" i="94"/>
  <c r="D59" i="46"/>
  <c r="I831" i="94"/>
  <c r="I89" i="47"/>
  <c r="I844" i="94"/>
  <c r="E911" i="94"/>
  <c r="M96" i="47"/>
  <c r="M26" i="62"/>
  <c r="M19" i="100" s="1"/>
  <c r="D110" i="62"/>
  <c r="D203" i="94"/>
  <c r="G31" i="14"/>
  <c r="G253" i="94"/>
  <c r="G266" i="94"/>
  <c r="E110" i="14"/>
  <c r="E455" i="94"/>
  <c r="F44" i="62"/>
  <c r="F413" i="94"/>
  <c r="J242" i="94"/>
  <c r="J44" i="62"/>
  <c r="J413" i="94" s="1"/>
  <c r="M328" i="94"/>
  <c r="J873" i="94"/>
  <c r="J1066" i="94"/>
  <c r="L114" i="94"/>
  <c r="M19" i="47"/>
  <c r="F18" i="100"/>
  <c r="K13" i="94"/>
  <c r="K15" i="17"/>
  <c r="K110" i="17"/>
  <c r="I26" i="94"/>
  <c r="I110" i="17"/>
  <c r="I15" i="17"/>
  <c r="E128" i="94"/>
  <c r="E992" i="94" s="1"/>
  <c r="J311" i="94"/>
  <c r="J1007" i="94" s="1"/>
  <c r="G541" i="94"/>
  <c r="G1033" i="94" s="1"/>
  <c r="I11" i="78"/>
  <c r="R12" i="74"/>
  <c r="U14" i="73"/>
  <c r="K110" i="22"/>
  <c r="K24" i="94"/>
  <c r="M11" i="22"/>
  <c r="K15" i="22"/>
  <c r="G130" i="94"/>
  <c r="G18" i="22"/>
  <c r="G91" i="94"/>
  <c r="G110" i="22"/>
  <c r="L169" i="94"/>
  <c r="L29" i="22"/>
  <c r="L234" i="94"/>
  <c r="H339" i="94"/>
  <c r="H42" i="22"/>
  <c r="M38" i="22"/>
  <c r="X13" i="100"/>
  <c r="D420" i="94"/>
  <c r="D110" i="22"/>
  <c r="M47" i="22"/>
  <c r="I465" i="94"/>
  <c r="I62" i="22"/>
  <c r="I543" i="94"/>
  <c r="E517" i="94"/>
  <c r="M60" i="22"/>
  <c r="H583" i="94"/>
  <c r="H77" i="22"/>
  <c r="H726" i="94"/>
  <c r="J700" i="94"/>
  <c r="M75" i="22"/>
  <c r="D741" i="94"/>
  <c r="M80" i="22"/>
  <c r="D84" i="22"/>
  <c r="L741" i="94"/>
  <c r="L84" i="22"/>
  <c r="L793" i="94"/>
  <c r="I886" i="94"/>
  <c r="I1067" i="94"/>
  <c r="J915" i="94"/>
  <c r="J110" i="27"/>
  <c r="J53" i="94"/>
  <c r="J61" i="94"/>
  <c r="J985" i="94" s="1"/>
  <c r="M13" i="32"/>
  <c r="M20" i="32"/>
  <c r="G15" i="100"/>
  <c r="F120" i="94"/>
  <c r="F18" i="32"/>
  <c r="F94" i="94"/>
  <c r="F110" i="32"/>
  <c r="D29" i="32"/>
  <c r="M24" i="32"/>
  <c r="K15" i="100"/>
  <c r="D172" i="94"/>
  <c r="J29" i="32"/>
  <c r="J211" i="94"/>
  <c r="J219" i="94"/>
  <c r="J999" i="94"/>
  <c r="E290" i="94"/>
  <c r="M34" i="32"/>
  <c r="E31" i="32"/>
  <c r="E251" i="94"/>
  <c r="I329" i="94"/>
  <c r="I42" i="32"/>
  <c r="M41" i="32"/>
  <c r="AA15" i="100"/>
  <c r="E381" i="94"/>
  <c r="E42" i="32"/>
  <c r="G481" i="94"/>
  <c r="G62" i="32"/>
  <c r="G546" i="94"/>
  <c r="E494" i="94"/>
  <c r="E62" i="32"/>
  <c r="E546" i="94"/>
  <c r="J507" i="94"/>
  <c r="J62" i="32"/>
  <c r="J546" i="94"/>
  <c r="E878" i="94"/>
  <c r="M94" i="32"/>
  <c r="J161" i="94"/>
  <c r="J29" i="14"/>
  <c r="J18" i="14"/>
  <c r="J96" i="94"/>
  <c r="M661" i="94"/>
  <c r="Y72" i="22"/>
  <c r="Y72" i="32"/>
  <c r="M21" i="22"/>
  <c r="H13" i="100"/>
  <c r="M21" i="14"/>
  <c r="H11" i="100"/>
  <c r="I455" i="94"/>
  <c r="I110" i="14"/>
  <c r="G637" i="94"/>
  <c r="G77" i="17"/>
  <c r="U70" i="17"/>
  <c r="K743" i="94"/>
  <c r="K84" i="17"/>
  <c r="K795" i="94"/>
  <c r="J877" i="94"/>
  <c r="M94" i="17"/>
  <c r="J110" i="17"/>
  <c r="D632" i="94"/>
  <c r="M69" i="47"/>
  <c r="O69" i="47"/>
  <c r="S69" i="47"/>
  <c r="U69" i="47"/>
  <c r="F723" i="94"/>
  <c r="D53" i="46"/>
  <c r="U76" i="47"/>
  <c r="M76" i="47"/>
  <c r="J777" i="94"/>
  <c r="J778" i="94"/>
  <c r="J1055" i="94" s="1"/>
  <c r="J84" i="47"/>
  <c r="J803" i="94"/>
  <c r="D872" i="94"/>
  <c r="M93" i="47"/>
  <c r="H164" i="94"/>
  <c r="M23" i="62"/>
  <c r="J19" i="100"/>
  <c r="H110" i="62"/>
  <c r="J203" i="94"/>
  <c r="J206" i="94" s="1"/>
  <c r="J998" i="94" s="1"/>
  <c r="J110" i="62"/>
  <c r="H216" i="94"/>
  <c r="M27" i="62"/>
  <c r="N19" i="100"/>
  <c r="G295" i="94"/>
  <c r="G298" i="94" s="1"/>
  <c r="G1006" i="94" s="1"/>
  <c r="M34" i="62"/>
  <c r="T19" i="100"/>
  <c r="G31" i="62"/>
  <c r="G256" i="94"/>
  <c r="D308" i="94"/>
  <c r="M35" i="62"/>
  <c r="X42" i="62" s="1"/>
  <c r="D31" i="62"/>
  <c r="E161" i="94"/>
  <c r="E29" i="14"/>
  <c r="I161" i="94"/>
  <c r="I29" i="14"/>
  <c r="D174" i="94"/>
  <c r="M24" i="14"/>
  <c r="K11" i="100"/>
  <c r="D29" i="2"/>
  <c r="F455" i="94"/>
  <c r="M690" i="94"/>
  <c r="G916" i="94"/>
  <c r="M97" i="17"/>
  <c r="D11" i="94"/>
  <c r="M10" i="22"/>
  <c r="D15" i="22"/>
  <c r="L117" i="94"/>
  <c r="L18" i="22"/>
  <c r="L91" i="94"/>
  <c r="H169" i="94"/>
  <c r="H29" i="22"/>
  <c r="H234" i="94"/>
  <c r="M24" i="22"/>
  <c r="K13" i="100"/>
  <c r="E221" i="94"/>
  <c r="E29" i="22"/>
  <c r="I287" i="94"/>
  <c r="M34" i="22"/>
  <c r="I31" i="22"/>
  <c r="I248" i="94"/>
  <c r="D339" i="94"/>
  <c r="D42" i="22"/>
  <c r="I378" i="94"/>
  <c r="M41" i="22"/>
  <c r="AA13" i="100"/>
  <c r="E62" i="22"/>
  <c r="E543" i="94"/>
  <c r="E465" i="94"/>
  <c r="M56" i="22"/>
  <c r="J62" i="22"/>
  <c r="J543" i="94"/>
  <c r="J504" i="94"/>
  <c r="J110" i="22"/>
  <c r="O66" i="22"/>
  <c r="S66" i="22"/>
  <c r="D10" i="68"/>
  <c r="D583" i="94"/>
  <c r="U66" i="22"/>
  <c r="D77" i="22"/>
  <c r="M66" i="22"/>
  <c r="H687" i="94"/>
  <c r="M74" i="22"/>
  <c r="G455" i="94"/>
  <c r="G110" i="14"/>
  <c r="D823" i="94"/>
  <c r="D89" i="17"/>
  <c r="M88" i="17"/>
  <c r="L890" i="94"/>
  <c r="L899" i="94"/>
  <c r="L1068" i="94"/>
  <c r="M95" i="17"/>
  <c r="D11" i="2"/>
  <c r="F29" i="94"/>
  <c r="M386" i="94"/>
  <c r="T16" i="97"/>
  <c r="F614" i="94"/>
  <c r="D45" i="2"/>
  <c r="D679" i="94"/>
  <c r="M73" i="14"/>
  <c r="F705" i="94"/>
  <c r="D52" i="2"/>
  <c r="G388" i="94"/>
  <c r="M41" i="47"/>
  <c r="AA18" i="100"/>
  <c r="E430" i="94"/>
  <c r="E431" i="94"/>
  <c r="E1019" i="94"/>
  <c r="E110" i="47"/>
  <c r="M47" i="47"/>
  <c r="M176" i="94"/>
  <c r="E13" i="94"/>
  <c r="E110" i="17"/>
  <c r="L115" i="17"/>
  <c r="S67" i="17"/>
  <c r="P75" i="17"/>
  <c r="L117" i="17"/>
  <c r="L119" i="17"/>
  <c r="X77" i="17"/>
  <c r="H689" i="94"/>
  <c r="M74" i="17"/>
  <c r="D57" i="16"/>
  <c r="F743" i="94"/>
  <c r="D756" i="94"/>
  <c r="M81" i="17"/>
  <c r="G50" i="94"/>
  <c r="G15" i="22"/>
  <c r="K141" i="94"/>
  <c r="K993" i="94" s="1"/>
  <c r="D261" i="94"/>
  <c r="M32" i="22"/>
  <c r="G300" i="94"/>
  <c r="G31" i="22"/>
  <c r="G248" i="94"/>
  <c r="M35" i="22"/>
  <c r="L339" i="94"/>
  <c r="L42" i="22"/>
  <c r="D478" i="94"/>
  <c r="M57" i="22"/>
  <c r="D62" i="22"/>
  <c r="I528" i="94"/>
  <c r="I1032" i="94" s="1"/>
  <c r="L77" i="22"/>
  <c r="L726" i="94"/>
  <c r="L583" i="94"/>
  <c r="F622" i="94"/>
  <c r="F77" i="22"/>
  <c r="F726" i="94"/>
  <c r="U69" i="22"/>
  <c r="H648" i="94"/>
  <c r="M71" i="22"/>
  <c r="H899" i="94"/>
  <c r="H1068" i="94"/>
  <c r="J111" i="94"/>
  <c r="J110" i="37"/>
  <c r="E268" i="94"/>
  <c r="M32" i="37"/>
  <c r="E31" i="37"/>
  <c r="E255" i="94"/>
  <c r="I320" i="94"/>
  <c r="I31" i="37"/>
  <c r="I255" i="94"/>
  <c r="I42" i="37"/>
  <c r="F333" i="94"/>
  <c r="F337" i="94"/>
  <c r="F1009" i="94" s="1"/>
  <c r="M37" i="37"/>
  <c r="W16" i="100"/>
  <c r="E346" i="94"/>
  <c r="E42" i="37"/>
  <c r="H372" i="94"/>
  <c r="M40" i="37"/>
  <c r="Z16" i="100"/>
  <c r="G457" i="94"/>
  <c r="M53" i="37"/>
  <c r="G110" i="37"/>
  <c r="M56" i="37"/>
  <c r="E62" i="37"/>
  <c r="E550" i="94"/>
  <c r="H577" i="94"/>
  <c r="H77" i="37"/>
  <c r="H733" i="94"/>
  <c r="J590" i="94"/>
  <c r="J77" i="37"/>
  <c r="J733" i="94"/>
  <c r="U66" i="37"/>
  <c r="D603" i="94"/>
  <c r="O67" i="37"/>
  <c r="S67" i="37"/>
  <c r="U67" i="37"/>
  <c r="M67" i="37"/>
  <c r="D77" i="37"/>
  <c r="D178" i="94"/>
  <c r="M24" i="84"/>
  <c r="K20" i="100"/>
  <c r="H657" i="94"/>
  <c r="H77" i="84"/>
  <c r="H735" i="94"/>
  <c r="M71" i="84"/>
  <c r="M75" i="84"/>
  <c r="E709" i="94"/>
  <c r="U75" i="84"/>
  <c r="I763" i="94"/>
  <c r="I765" i="94"/>
  <c r="I1054" i="94"/>
  <c r="I84" i="84"/>
  <c r="I802" i="94"/>
  <c r="M81" i="84"/>
  <c r="F923" i="94"/>
  <c r="M97" i="84"/>
  <c r="F110" i="84"/>
  <c r="D26" i="86"/>
  <c r="E76" i="86"/>
  <c r="F434" i="94"/>
  <c r="M50" i="87"/>
  <c r="M669" i="94"/>
  <c r="Y72" i="62"/>
  <c r="E97" i="94"/>
  <c r="S69" i="37"/>
  <c r="F785" i="94"/>
  <c r="D60" i="2"/>
  <c r="L769" i="94"/>
  <c r="L84" i="17"/>
  <c r="L795" i="94"/>
  <c r="J782" i="94"/>
  <c r="M83" i="17"/>
  <c r="H810" i="94"/>
  <c r="H89" i="17"/>
  <c r="H836" i="94"/>
  <c r="D903" i="94"/>
  <c r="M96" i="17"/>
  <c r="G822" i="94"/>
  <c r="G89" i="27"/>
  <c r="G835" i="94"/>
  <c r="E863" i="94"/>
  <c r="M93" i="27"/>
  <c r="K873" i="94"/>
  <c r="K1066" i="94" s="1"/>
  <c r="G912" i="94"/>
  <c r="G1069" i="94" s="1"/>
  <c r="K53" i="94"/>
  <c r="K15" i="32"/>
  <c r="I29" i="32"/>
  <c r="I237" i="94"/>
  <c r="I18" i="32"/>
  <c r="I94" i="94"/>
  <c r="I159" i="94"/>
  <c r="M27" i="32"/>
  <c r="N15" i="100"/>
  <c r="F29" i="32"/>
  <c r="F211" i="94"/>
  <c r="M37" i="32"/>
  <c r="W15" i="100"/>
  <c r="E329" i="94"/>
  <c r="K461" i="94"/>
  <c r="K1025" i="94" s="1"/>
  <c r="I62" i="32"/>
  <c r="I546" i="94"/>
  <c r="M56" i="32"/>
  <c r="L573" i="94"/>
  <c r="L77" i="32"/>
  <c r="L729" i="94"/>
  <c r="M65" i="32"/>
  <c r="G586" i="94"/>
  <c r="O66" i="32"/>
  <c r="S66" i="32"/>
  <c r="D12" i="68"/>
  <c r="G77" i="32"/>
  <c r="G729" i="94"/>
  <c r="L117" i="32"/>
  <c r="H599" i="94"/>
  <c r="H77" i="32"/>
  <c r="H729" i="94"/>
  <c r="J612" i="94"/>
  <c r="J77" i="32"/>
  <c r="J729" i="94"/>
  <c r="K638" i="94"/>
  <c r="K646" i="94"/>
  <c r="K1043" i="94" s="1"/>
  <c r="K77" i="32"/>
  <c r="K729" i="94"/>
  <c r="G690" i="94"/>
  <c r="G698" i="94"/>
  <c r="G1047" i="94" s="1"/>
  <c r="U74" i="32"/>
  <c r="J744" i="94"/>
  <c r="J84" i="32"/>
  <c r="J796" i="94"/>
  <c r="E811" i="94"/>
  <c r="E819" i="94"/>
  <c r="E1060" i="94" s="1"/>
  <c r="E1062" i="94" s="1"/>
  <c r="E89" i="32"/>
  <c r="M87" i="32"/>
  <c r="J824" i="94"/>
  <c r="J89" i="32"/>
  <c r="J837" i="94"/>
  <c r="H110" i="37"/>
  <c r="H176" i="94"/>
  <c r="H29" i="37"/>
  <c r="H241" i="94"/>
  <c r="G427" i="94"/>
  <c r="M47" i="37"/>
  <c r="E442" i="94"/>
  <c r="M50" i="37"/>
  <c r="H293" i="94"/>
  <c r="M34" i="42"/>
  <c r="T17" i="100"/>
  <c r="H31" i="42"/>
  <c r="H254" i="94"/>
  <c r="E306" i="94"/>
  <c r="M35" i="42"/>
  <c r="U17" i="100"/>
  <c r="I510" i="94"/>
  <c r="I62" i="42"/>
  <c r="I549" i="94"/>
  <c r="D536" i="94"/>
  <c r="M61" i="42"/>
  <c r="L536" i="94"/>
  <c r="L541" i="94"/>
  <c r="L1033" i="94" s="1"/>
  <c r="L62" i="42"/>
  <c r="L549" i="94"/>
  <c r="L110" i="42"/>
  <c r="L589" i="94"/>
  <c r="L77" i="42"/>
  <c r="L732" i="94"/>
  <c r="D706" i="94"/>
  <c r="U75" i="42"/>
  <c r="J21" i="94"/>
  <c r="J15" i="47"/>
  <c r="J110" i="47"/>
  <c r="I127" i="94"/>
  <c r="I128" i="94"/>
  <c r="I992" i="94" s="1"/>
  <c r="I110" i="47"/>
  <c r="M20" i="47"/>
  <c r="G18" i="100"/>
  <c r="I140" i="94"/>
  <c r="L166" i="94"/>
  <c r="L18" i="47"/>
  <c r="L101" i="94"/>
  <c r="L29" i="47"/>
  <c r="J231" i="94"/>
  <c r="M28" i="47"/>
  <c r="J29" i="47"/>
  <c r="K475" i="94"/>
  <c r="M56" i="47"/>
  <c r="K62" i="47"/>
  <c r="K553" i="94"/>
  <c r="I488" i="94"/>
  <c r="M57" i="47"/>
  <c r="I62" i="47"/>
  <c r="I553" i="94"/>
  <c r="H501" i="94"/>
  <c r="H62" i="47"/>
  <c r="H553" i="94"/>
  <c r="M58" i="47"/>
  <c r="I593" i="94"/>
  <c r="I594" i="94"/>
  <c r="I1039" i="94" s="1"/>
  <c r="M66" i="47"/>
  <c r="U68" i="47"/>
  <c r="M68" i="47"/>
  <c r="D77" i="47"/>
  <c r="J658" i="94"/>
  <c r="U71" i="47"/>
  <c r="G710" i="94"/>
  <c r="G711" i="94"/>
  <c r="G1048" i="94"/>
  <c r="M75" i="47"/>
  <c r="K764" i="94"/>
  <c r="M81" i="47"/>
  <c r="E831" i="94"/>
  <c r="M88" i="47"/>
  <c r="H77" i="62"/>
  <c r="M67" i="62"/>
  <c r="H604" i="94"/>
  <c r="P75" i="62"/>
  <c r="L115" i="62"/>
  <c r="D197" i="94"/>
  <c r="M26" i="17"/>
  <c r="M12" i="100"/>
  <c r="X36" i="62"/>
  <c r="M889" i="94"/>
  <c r="Y76" i="27"/>
  <c r="M336" i="94"/>
  <c r="G26" i="94"/>
  <c r="G35" i="94"/>
  <c r="G983" i="94"/>
  <c r="G110" i="17"/>
  <c r="K74" i="94"/>
  <c r="K986" i="94" s="1"/>
  <c r="H128" i="94"/>
  <c r="H992" i="94" s="1"/>
  <c r="E141" i="94"/>
  <c r="E993" i="94" s="1"/>
  <c r="D154" i="94"/>
  <c r="D994" i="94" s="1"/>
  <c r="L154" i="94"/>
  <c r="L994" i="94" s="1"/>
  <c r="J180" i="94"/>
  <c r="J996" i="94" s="1"/>
  <c r="I193" i="94"/>
  <c r="I997" i="94" s="1"/>
  <c r="G232" i="94"/>
  <c r="G1000" i="94" s="1"/>
  <c r="K232" i="94"/>
  <c r="K1000" i="94" s="1"/>
  <c r="I311" i="94"/>
  <c r="I1007" i="94" s="1"/>
  <c r="E624" i="94"/>
  <c r="O69" i="17"/>
  <c r="S69" i="17"/>
  <c r="M69" i="17"/>
  <c r="F637" i="94"/>
  <c r="D47" i="16"/>
  <c r="M70" i="17"/>
  <c r="Y70" i="17"/>
  <c r="L637" i="94"/>
  <c r="L77" i="17"/>
  <c r="L728" i="94"/>
  <c r="L110" i="17"/>
  <c r="G650" i="94"/>
  <c r="U71" i="17"/>
  <c r="H663" i="94"/>
  <c r="H77" i="17"/>
  <c r="H728" i="94"/>
  <c r="M72" i="17"/>
  <c r="J676" i="94"/>
  <c r="J685" i="94"/>
  <c r="J1046" i="94"/>
  <c r="J77" i="17"/>
  <c r="J728" i="94"/>
  <c r="H756" i="94"/>
  <c r="H765" i="94"/>
  <c r="H1054" i="94" s="1"/>
  <c r="H84" i="17"/>
  <c r="H795" i="94"/>
  <c r="H104" i="94"/>
  <c r="H115" i="94"/>
  <c r="H991" i="94"/>
  <c r="M19" i="22"/>
  <c r="F13" i="100"/>
  <c r="I156" i="94"/>
  <c r="I110" i="22"/>
  <c r="I29" i="22"/>
  <c r="I234" i="94"/>
  <c r="I18" i="22"/>
  <c r="I91" i="94"/>
  <c r="F208" i="94"/>
  <c r="M27" i="22"/>
  <c r="N13" i="100"/>
  <c r="J274" i="94"/>
  <c r="J31" i="22"/>
  <c r="J248" i="94"/>
  <c r="E326" i="94"/>
  <c r="E42" i="22"/>
  <c r="M37" i="22"/>
  <c r="W13" i="100"/>
  <c r="J365" i="94"/>
  <c r="J376" i="94"/>
  <c r="J1012" i="94" s="1"/>
  <c r="M40" i="22"/>
  <c r="Z13" i="100"/>
  <c r="J42" i="22"/>
  <c r="F450" i="94"/>
  <c r="M53" i="22"/>
  <c r="D29" i="21"/>
  <c r="F110" i="22"/>
  <c r="K62" i="22"/>
  <c r="K543" i="94"/>
  <c r="K491" i="94"/>
  <c r="K502" i="94"/>
  <c r="K1030" i="94" s="1"/>
  <c r="M58" i="22"/>
  <c r="O65" i="22"/>
  <c r="S65" i="22"/>
  <c r="G570" i="94"/>
  <c r="G581" i="94"/>
  <c r="G1038" i="94" s="1"/>
  <c r="G77" i="22"/>
  <c r="G726" i="94"/>
  <c r="M65" i="22"/>
  <c r="J77" i="22"/>
  <c r="J726" i="94"/>
  <c r="J609" i="94"/>
  <c r="M68" i="22"/>
  <c r="E754" i="94"/>
  <c r="E84" i="22"/>
  <c r="E793" i="94"/>
  <c r="H714" i="94"/>
  <c r="H724" i="94"/>
  <c r="H1049" i="94"/>
  <c r="M76" i="27"/>
  <c r="D755" i="94"/>
  <c r="D84" i="27"/>
  <c r="H27" i="94"/>
  <c r="M11" i="32"/>
  <c r="H15" i="32"/>
  <c r="H110" i="32"/>
  <c r="M19" i="32"/>
  <c r="F15" i="100"/>
  <c r="D18" i="32"/>
  <c r="D107" i="94"/>
  <c r="D115" i="94"/>
  <c r="D991" i="94" s="1"/>
  <c r="E159" i="94"/>
  <c r="E18" i="32"/>
  <c r="E94" i="94"/>
  <c r="K198" i="94"/>
  <c r="M26" i="32"/>
  <c r="M15" i="100"/>
  <c r="M33" i="32"/>
  <c r="F277" i="94"/>
  <c r="J31" i="32"/>
  <c r="J251" i="94"/>
  <c r="J316" i="94"/>
  <c r="M36" i="32"/>
  <c r="V15" i="100"/>
  <c r="G438" i="94"/>
  <c r="G110" i="32"/>
  <c r="E453" i="94"/>
  <c r="M53" i="32"/>
  <c r="E110" i="32"/>
  <c r="F111" i="94"/>
  <c r="F110" i="37"/>
  <c r="F18" i="37"/>
  <c r="F98" i="94"/>
  <c r="M19" i="37"/>
  <c r="F16" i="100"/>
  <c r="D163" i="94"/>
  <c r="D29" i="37"/>
  <c r="D18" i="37"/>
  <c r="J163" i="94"/>
  <c r="J29" i="37"/>
  <c r="J241" i="94"/>
  <c r="J18" i="37"/>
  <c r="J98" i="94"/>
  <c r="I56" i="94"/>
  <c r="I110" i="42"/>
  <c r="G69" i="94"/>
  <c r="M14" i="42"/>
  <c r="G15" i="42"/>
  <c r="E201" i="94"/>
  <c r="M26" i="42"/>
  <c r="M17" i="100"/>
  <c r="E29" i="42"/>
  <c r="G426" i="94"/>
  <c r="G110" i="42"/>
  <c r="M47" i="42"/>
  <c r="E441" i="94"/>
  <c r="M50" i="42"/>
  <c r="D456" i="94"/>
  <c r="D110" i="42"/>
  <c r="J510" i="94"/>
  <c r="J62" i="42"/>
  <c r="J549" i="94"/>
  <c r="K576" i="94"/>
  <c r="M65" i="42"/>
  <c r="K77" i="42"/>
  <c r="K732" i="94"/>
  <c r="F589" i="94"/>
  <c r="D43" i="41"/>
  <c r="G654" i="94"/>
  <c r="M71" i="42"/>
  <c r="O71" i="42"/>
  <c r="S71" i="42"/>
  <c r="G77" i="42"/>
  <c r="U71" i="42"/>
  <c r="J693" i="94"/>
  <c r="U74" i="42"/>
  <c r="M74" i="42"/>
  <c r="H814" i="94"/>
  <c r="M87" i="42"/>
  <c r="H89" i="42"/>
  <c r="H840" i="94"/>
  <c r="F21" i="94"/>
  <c r="F110" i="47"/>
  <c r="M10" i="47"/>
  <c r="D10" i="46"/>
  <c r="J114" i="94"/>
  <c r="J18" i="47"/>
  <c r="J101" i="94"/>
  <c r="G153" i="94"/>
  <c r="M22" i="47"/>
  <c r="I18" i="100"/>
  <c r="G110" i="47"/>
  <c r="I271" i="94"/>
  <c r="I31" i="47"/>
  <c r="I258" i="94"/>
  <c r="D297" i="94"/>
  <c r="D31" i="47"/>
  <c r="M34" i="47"/>
  <c r="T18" i="100"/>
  <c r="O66" i="62"/>
  <c r="S66" i="62" s="1"/>
  <c r="G110" i="62"/>
  <c r="G591" i="94"/>
  <c r="J392" i="94"/>
  <c r="D44" i="27"/>
  <c r="H401" i="94"/>
  <c r="J13" i="94"/>
  <c r="J15" i="17"/>
  <c r="H26" i="94"/>
  <c r="H15" i="17"/>
  <c r="H110" i="17"/>
  <c r="I663" i="94"/>
  <c r="I77" i="17"/>
  <c r="I728" i="94"/>
  <c r="D12" i="94"/>
  <c r="D15" i="27"/>
  <c r="M10" i="27"/>
  <c r="I649" i="94"/>
  <c r="I659" i="94"/>
  <c r="I1044" i="94" s="1"/>
  <c r="M71" i="27"/>
  <c r="D701" i="94"/>
  <c r="U75" i="27"/>
  <c r="M75" i="27"/>
  <c r="D77" i="27"/>
  <c r="D57" i="26"/>
  <c r="F742" i="94"/>
  <c r="F84" i="27"/>
  <c r="F794" i="94"/>
  <c r="L809" i="94"/>
  <c r="L89" i="27"/>
  <c r="L835" i="94"/>
  <c r="D876" i="94"/>
  <c r="M94" i="27"/>
  <c r="I77" i="37"/>
  <c r="I733" i="94"/>
  <c r="I603" i="94"/>
  <c r="D616" i="94"/>
  <c r="M68" i="37"/>
  <c r="O68" i="37"/>
  <c r="K616" i="94"/>
  <c r="K620" i="94"/>
  <c r="K1041" i="94" s="1"/>
  <c r="K77" i="37"/>
  <c r="K733" i="94"/>
  <c r="K162" i="94"/>
  <c r="M23" i="42"/>
  <c r="J17" i="100"/>
  <c r="K18" i="42"/>
  <c r="K97" i="94"/>
  <c r="L371" i="94"/>
  <c r="L376" i="94"/>
  <c r="L1012" i="94"/>
  <c r="L42" i="42"/>
  <c r="F441" i="94"/>
  <c r="D26" i="41"/>
  <c r="E76" i="41"/>
  <c r="F536" i="94"/>
  <c r="F62" i="42"/>
  <c r="F549" i="94"/>
  <c r="D37" i="41"/>
  <c r="M50" i="47"/>
  <c r="I445" i="94"/>
  <c r="E697" i="94"/>
  <c r="E698" i="94"/>
  <c r="E1047" i="94" s="1"/>
  <c r="U74" i="47"/>
  <c r="L751" i="94"/>
  <c r="L84" i="47"/>
  <c r="L803" i="94"/>
  <c r="G818" i="94"/>
  <c r="G89" i="47"/>
  <c r="K885" i="94"/>
  <c r="K886" i="94"/>
  <c r="K1067" i="94" s="1"/>
  <c r="M94" i="47"/>
  <c r="K112" i="94"/>
  <c r="K18" i="62"/>
  <c r="K99" i="94"/>
  <c r="K110" i="62"/>
  <c r="M19" i="62"/>
  <c r="F19" i="100" s="1"/>
  <c r="F24" i="100" s="1"/>
  <c r="F45" i="100" s="1"/>
  <c r="L216" i="94"/>
  <c r="L219" i="94" s="1"/>
  <c r="L999" i="94" s="1"/>
  <c r="L29" i="62"/>
  <c r="L242" i="94"/>
  <c r="J229" i="94"/>
  <c r="M28" i="62"/>
  <c r="O19" i="100" s="1"/>
  <c r="O24" i="100" s="1"/>
  <c r="O45" i="100" s="1"/>
  <c r="L458" i="94"/>
  <c r="L461" i="94" s="1"/>
  <c r="L1025" i="94" s="1"/>
  <c r="L110" i="62"/>
  <c r="M53" i="62"/>
  <c r="J473" i="94"/>
  <c r="J476" i="94"/>
  <c r="J1028" i="94" s="1"/>
  <c r="J62" i="62"/>
  <c r="J551" i="94" s="1"/>
  <c r="J554" i="94" s="1"/>
  <c r="F499" i="94"/>
  <c r="F502" i="94" s="1"/>
  <c r="D46" i="57" s="1"/>
  <c r="F62" i="62"/>
  <c r="F551" i="94" s="1"/>
  <c r="F554" i="94" s="1"/>
  <c r="D34" i="51"/>
  <c r="F588" i="94"/>
  <c r="D43" i="2"/>
  <c r="D110" i="17"/>
  <c r="D702" i="94"/>
  <c r="U75" i="17"/>
  <c r="G823" i="94"/>
  <c r="G89" i="17"/>
  <c r="G836" i="94"/>
  <c r="F18" i="22"/>
  <c r="F91" i="94"/>
  <c r="F117" i="94"/>
  <c r="E31" i="22"/>
  <c r="E248" i="94"/>
  <c r="E287" i="94"/>
  <c r="I326" i="94"/>
  <c r="I42" i="22"/>
  <c r="M59" i="22"/>
  <c r="F62" i="22"/>
  <c r="F543" i="94"/>
  <c r="D35" i="21"/>
  <c r="F504" i="94"/>
  <c r="K659" i="94"/>
  <c r="K1044" i="94" s="1"/>
  <c r="E700" i="94"/>
  <c r="U75" i="22"/>
  <c r="F741" i="94"/>
  <c r="F84" i="22"/>
  <c r="F793" i="94"/>
  <c r="D57" i="21"/>
  <c r="D61" i="21"/>
  <c r="L873" i="94"/>
  <c r="L1066" i="94" s="1"/>
  <c r="J688" i="94"/>
  <c r="U74" i="27"/>
  <c r="D768" i="94"/>
  <c r="M82" i="27"/>
  <c r="L886" i="94"/>
  <c r="L1067" i="94" s="1"/>
  <c r="L31" i="32"/>
  <c r="L251" i="94"/>
  <c r="L264" i="94"/>
  <c r="K42" i="32"/>
  <c r="K355" i="94"/>
  <c r="D468" i="94"/>
  <c r="D62" i="32"/>
  <c r="F573" i="94"/>
  <c r="F77" i="32"/>
  <c r="F729" i="94"/>
  <c r="D42" i="31"/>
  <c r="F307" i="94"/>
  <c r="F311" i="94"/>
  <c r="F1007" i="94" s="1"/>
  <c r="F31" i="37"/>
  <c r="F255" i="94"/>
  <c r="D320" i="94"/>
  <c r="D31" i="37"/>
  <c r="J42" i="37"/>
  <c r="J31" i="37"/>
  <c r="J255" i="94"/>
  <c r="H333" i="94"/>
  <c r="H42" i="37"/>
  <c r="E485" i="94"/>
  <c r="E489" i="94"/>
  <c r="E1029" i="94" s="1"/>
  <c r="M57" i="37"/>
  <c r="D537" i="94"/>
  <c r="M61" i="37"/>
  <c r="J345" i="94"/>
  <c r="J42" i="42"/>
  <c r="G358" i="94"/>
  <c r="M39" i="42"/>
  <c r="Y17" i="100"/>
  <c r="F641" i="94"/>
  <c r="M70" i="42"/>
  <c r="D47" i="41"/>
  <c r="D881" i="94"/>
  <c r="M94" i="42"/>
  <c r="I920" i="94"/>
  <c r="I925" i="94"/>
  <c r="I1070" i="94" s="1"/>
  <c r="M97" i="42"/>
  <c r="L73" i="94"/>
  <c r="M14" i="47"/>
  <c r="L110" i="47"/>
  <c r="L15" i="47"/>
  <c r="G460" i="94"/>
  <c r="M53" i="47"/>
  <c r="J488" i="94"/>
  <c r="J62" i="47"/>
  <c r="J553" i="94"/>
  <c r="H580" i="94"/>
  <c r="M65" i="47"/>
  <c r="D606" i="94"/>
  <c r="U67" i="47"/>
  <c r="F658" i="94"/>
  <c r="D48" i="46"/>
  <c r="E499" i="94"/>
  <c r="M58" i="62"/>
  <c r="D512" i="94"/>
  <c r="D62" i="62"/>
  <c r="L578" i="94"/>
  <c r="L77" i="62"/>
  <c r="L734" i="94" s="1"/>
  <c r="L737" i="94" s="1"/>
  <c r="L106" i="94"/>
  <c r="L810" i="94"/>
  <c r="L89" i="17"/>
  <c r="L836" i="94"/>
  <c r="M33" i="22"/>
  <c r="X36" i="22"/>
  <c r="F274" i="94"/>
  <c r="O70" i="22"/>
  <c r="S70" i="22"/>
  <c r="K724" i="94"/>
  <c r="K1049" i="94" s="1"/>
  <c r="E875" i="94"/>
  <c r="M94" i="22"/>
  <c r="E623" i="94"/>
  <c r="O69" i="27"/>
  <c r="S69" i="27"/>
  <c r="U69" i="27"/>
  <c r="F636" i="94"/>
  <c r="U70" i="27"/>
  <c r="D47" i="26"/>
  <c r="L636" i="94"/>
  <c r="L77" i="27"/>
  <c r="L727" i="94"/>
  <c r="G649" i="94"/>
  <c r="O71" i="27"/>
  <c r="S71" i="27"/>
  <c r="U71" i="27"/>
  <c r="J912" i="94"/>
  <c r="J1069" i="94" s="1"/>
  <c r="G915" i="94"/>
  <c r="M97" i="27"/>
  <c r="D31" i="32"/>
  <c r="D264" i="94"/>
  <c r="M35" i="32"/>
  <c r="G303" i="94"/>
  <c r="G891" i="94"/>
  <c r="M95" i="32"/>
  <c r="E904" i="94"/>
  <c r="M96" i="32"/>
  <c r="E18" i="94"/>
  <c r="E110" i="37"/>
  <c r="I137" i="94"/>
  <c r="I18" i="37"/>
  <c r="I98" i="94"/>
  <c r="G150" i="94"/>
  <c r="G18" i="37"/>
  <c r="G98" i="94"/>
  <c r="K163" i="94"/>
  <c r="K29" i="37"/>
  <c r="K18" i="37"/>
  <c r="K98" i="94"/>
  <c r="L281" i="94"/>
  <c r="L285" i="94"/>
  <c r="L1005" i="94"/>
  <c r="M33" i="37"/>
  <c r="J294" i="94"/>
  <c r="M34" i="37"/>
  <c r="T16" i="100"/>
  <c r="L320" i="94"/>
  <c r="L31" i="37"/>
  <c r="L255" i="94"/>
  <c r="L42" i="37"/>
  <c r="G162" i="94"/>
  <c r="G29" i="42"/>
  <c r="G240" i="94"/>
  <c r="H214" i="94"/>
  <c r="M27" i="42"/>
  <c r="N17" i="100"/>
  <c r="H29" i="42"/>
  <c r="J267" i="94"/>
  <c r="J272" i="94"/>
  <c r="J1004" i="94" s="1"/>
  <c r="M32" i="42"/>
  <c r="R17" i="100"/>
  <c r="J31" i="42"/>
  <c r="J254" i="94"/>
  <c r="K540" i="94"/>
  <c r="M61" i="47"/>
  <c r="K593" i="94"/>
  <c r="K594" i="94"/>
  <c r="K1039" i="94" s="1"/>
  <c r="K77" i="47"/>
  <c r="K736" i="94"/>
  <c r="F606" i="94"/>
  <c r="F77" i="47"/>
  <c r="F736" i="94"/>
  <c r="E645" i="94"/>
  <c r="E77" i="47"/>
  <c r="E736" i="94"/>
  <c r="O70" i="47"/>
  <c r="S70" i="47"/>
  <c r="M70" i="47"/>
  <c r="F58" i="94"/>
  <c r="F61" i="94" s="1"/>
  <c r="D25" i="57" s="1"/>
  <c r="F15" i="62"/>
  <c r="D13" i="51"/>
  <c r="D15" i="51" s="1"/>
  <c r="D39" i="51" s="1"/>
  <c r="D68" i="51" s="1"/>
  <c r="F110" i="62"/>
  <c r="J71" i="94"/>
  <c r="M14" i="62"/>
  <c r="J15" i="62"/>
  <c r="L386" i="94"/>
  <c r="L389" i="94"/>
  <c r="L1013" i="94" s="1"/>
  <c r="L1014" i="94" s="1"/>
  <c r="L42" i="62"/>
  <c r="I486" i="94"/>
  <c r="I110" i="62"/>
  <c r="J689" i="94"/>
  <c r="U74" i="17"/>
  <c r="D769" i="94"/>
  <c r="M82" i="17"/>
  <c r="E110" i="22"/>
  <c r="J143" i="94"/>
  <c r="J18" i="22"/>
  <c r="J91" i="94"/>
  <c r="M36" i="22"/>
  <c r="V13" i="100"/>
  <c r="F313" i="94"/>
  <c r="F42" i="22"/>
  <c r="G435" i="94"/>
  <c r="M50" i="22"/>
  <c r="L62" i="22"/>
  <c r="L543" i="94"/>
  <c r="L478" i="94"/>
  <c r="I596" i="94"/>
  <c r="I77" i="22"/>
  <c r="I726" i="94"/>
  <c r="K633" i="94"/>
  <c r="K1042" i="94" s="1"/>
  <c r="L698" i="94"/>
  <c r="L1047" i="94"/>
  <c r="H25" i="94"/>
  <c r="H15" i="27"/>
  <c r="J84" i="27"/>
  <c r="J794" i="94"/>
  <c r="G133" i="94"/>
  <c r="M21" i="32"/>
  <c r="H15" i="100"/>
  <c r="H342" i="94"/>
  <c r="H42" i="32"/>
  <c r="D110" i="32"/>
  <c r="M47" i="32"/>
  <c r="D423" i="94"/>
  <c r="E664" i="94"/>
  <c r="O72" i="32"/>
  <c r="S72" i="32"/>
  <c r="D716" i="94"/>
  <c r="M76" i="32"/>
  <c r="H770" i="94"/>
  <c r="H778" i="94"/>
  <c r="H1055" i="94"/>
  <c r="H84" i="32"/>
  <c r="H56" i="94"/>
  <c r="H61" i="94"/>
  <c r="H985" i="94"/>
  <c r="M13" i="42"/>
  <c r="O13" i="42"/>
  <c r="H110" i="42"/>
  <c r="E69" i="94"/>
  <c r="E110" i="42"/>
  <c r="J29" i="42"/>
  <c r="J240" i="94"/>
  <c r="I319" i="94"/>
  <c r="I31" i="42"/>
  <c r="I254" i="94"/>
  <c r="E205" i="94"/>
  <c r="E29" i="47"/>
  <c r="D751" i="94"/>
  <c r="M80" i="47"/>
  <c r="E19" i="94"/>
  <c r="M10" i="62"/>
  <c r="S72" i="22"/>
  <c r="I18" i="42"/>
  <c r="I97" i="94"/>
  <c r="I110" i="94"/>
  <c r="F810" i="94"/>
  <c r="F89" i="17"/>
  <c r="F836" i="94"/>
  <c r="D64" i="16"/>
  <c r="M22" i="22"/>
  <c r="I13" i="100"/>
  <c r="F143" i="94"/>
  <c r="H31" i="22"/>
  <c r="H248" i="94"/>
  <c r="H261" i="94"/>
  <c r="H272" i="94"/>
  <c r="H1004" i="94"/>
  <c r="K31" i="22"/>
  <c r="K248" i="94"/>
  <c r="K300" i="94"/>
  <c r="L110" i="22"/>
  <c r="L420" i="94"/>
  <c r="H62" i="22"/>
  <c r="H543" i="94"/>
  <c r="H478" i="94"/>
  <c r="D530" i="94"/>
  <c r="M61" i="22"/>
  <c r="M67" i="22"/>
  <c r="E77" i="22"/>
  <c r="E726" i="94"/>
  <c r="E596" i="94"/>
  <c r="O67" i="22"/>
  <c r="S67" i="22"/>
  <c r="G808" i="94"/>
  <c r="G89" i="22"/>
  <c r="G834" i="94"/>
  <c r="I873" i="94"/>
  <c r="I1066" i="94" s="1"/>
  <c r="L118" i="27"/>
  <c r="L607" i="94"/>
  <c r="L1040" i="94"/>
  <c r="F77" i="27"/>
  <c r="F727" i="94"/>
  <c r="D46" i="26"/>
  <c r="K742" i="94"/>
  <c r="K84" i="27"/>
  <c r="K794" i="94"/>
  <c r="M28" i="32"/>
  <c r="O15" i="100"/>
  <c r="E224" i="94"/>
  <c r="I31" i="32"/>
  <c r="I251" i="94"/>
  <c r="I290" i="94"/>
  <c r="D342" i="94"/>
  <c r="D42" i="32"/>
  <c r="F481" i="94"/>
  <c r="F62" i="32"/>
  <c r="F546" i="94"/>
  <c r="D33" i="31"/>
  <c r="M57" i="32"/>
  <c r="D494" i="94"/>
  <c r="M58" i="32"/>
  <c r="H507" i="94"/>
  <c r="H62" i="32"/>
  <c r="H546" i="94"/>
  <c r="M59" i="32"/>
  <c r="F520" i="94"/>
  <c r="M60" i="32"/>
  <c r="D770" i="94"/>
  <c r="M82" i="32"/>
  <c r="L18" i="37"/>
  <c r="L98" i="94"/>
  <c r="M20" i="37"/>
  <c r="G16" i="100"/>
  <c r="L124" i="94"/>
  <c r="K472" i="94"/>
  <c r="K62" i="37"/>
  <c r="K550" i="94"/>
  <c r="I485" i="94"/>
  <c r="I62" i="37"/>
  <c r="I550" i="94"/>
  <c r="D511" i="94"/>
  <c r="M59" i="37"/>
  <c r="F123" i="94"/>
  <c r="F18" i="42"/>
  <c r="F97" i="94"/>
  <c r="M20" i="42"/>
  <c r="G17" i="100"/>
  <c r="E188" i="94"/>
  <c r="M25" i="42"/>
  <c r="K536" i="94"/>
  <c r="K541" i="94"/>
  <c r="K1033" i="94"/>
  <c r="K62" i="42"/>
  <c r="K549" i="94"/>
  <c r="D589" i="94"/>
  <c r="U66" i="42"/>
  <c r="O66" i="42"/>
  <c r="S66" i="42"/>
  <c r="F615" i="94"/>
  <c r="U68" i="42"/>
  <c r="F827" i="94"/>
  <c r="D65" i="41"/>
  <c r="E34" i="94"/>
  <c r="M11" i="47"/>
  <c r="E153" i="94"/>
  <c r="E154" i="94"/>
  <c r="E994" i="94"/>
  <c r="E18" i="47"/>
  <c r="D166" i="94"/>
  <c r="D110" i="47"/>
  <c r="D323" i="94"/>
  <c r="D42" i="47"/>
  <c r="K323" i="94"/>
  <c r="K42" i="47"/>
  <c r="M40" i="47"/>
  <c r="D375" i="94"/>
  <c r="D376" i="94"/>
  <c r="D1012" i="94" s="1"/>
  <c r="D684" i="94"/>
  <c r="O73" i="47"/>
  <c r="S73" i="47"/>
  <c r="D924" i="94"/>
  <c r="D925" i="94"/>
  <c r="D1070" i="94"/>
  <c r="M97" i="47"/>
  <c r="D347" i="94"/>
  <c r="D42" i="62"/>
  <c r="F110" i="17"/>
  <c r="M76" i="22"/>
  <c r="M69" i="22"/>
  <c r="Y69" i="22"/>
  <c r="G89" i="32"/>
  <c r="G837" i="94"/>
  <c r="H633" i="94"/>
  <c r="H1042" i="94"/>
  <c r="L112" i="37"/>
  <c r="M953" i="94"/>
  <c r="J633" i="94"/>
  <c r="J1042" i="94"/>
  <c r="D635" i="94"/>
  <c r="K672" i="94"/>
  <c r="K1045" i="94" s="1"/>
  <c r="L925" i="94"/>
  <c r="L1070" i="94"/>
  <c r="I912" i="94"/>
  <c r="I1069" i="94" s="1"/>
  <c r="D73" i="2"/>
  <c r="I84" i="17"/>
  <c r="I795" i="94"/>
  <c r="G607" i="94"/>
  <c r="G1040" i="94"/>
  <c r="L659" i="94"/>
  <c r="L1044" i="94" s="1"/>
  <c r="K124" i="71"/>
  <c r="L124" i="71"/>
  <c r="K126" i="94"/>
  <c r="K128" i="94"/>
  <c r="K992" i="94"/>
  <c r="K110" i="84"/>
  <c r="K18" i="84"/>
  <c r="K100" i="94"/>
  <c r="M20" i="84"/>
  <c r="G20" i="100"/>
  <c r="X56" i="65"/>
  <c r="Y74" i="84"/>
  <c r="B51" i="83"/>
  <c r="M26" i="65"/>
  <c r="M27" i="65"/>
  <c r="B679" i="94"/>
  <c r="B16" i="94"/>
  <c r="B561" i="94"/>
  <c r="P13" i="14"/>
  <c r="J116" i="94"/>
  <c r="J128" i="94"/>
  <c r="J992" i="94"/>
  <c r="J18" i="87"/>
  <c r="J90" i="94"/>
  <c r="M20" i="87"/>
  <c r="G21" i="100"/>
  <c r="Q21" i="97"/>
  <c r="M343" i="94"/>
  <c r="E77" i="92"/>
  <c r="E730" i="94"/>
  <c r="M65" i="92"/>
  <c r="O65" i="92"/>
  <c r="S65" i="92"/>
  <c r="U65" i="92"/>
  <c r="E574" i="94"/>
  <c r="B305" i="94"/>
  <c r="B226" i="94"/>
  <c r="B243" i="94"/>
  <c r="B178" i="94"/>
  <c r="B843" i="94"/>
  <c r="B230" i="94"/>
  <c r="B897" i="94"/>
  <c r="B722" i="94"/>
  <c r="B526" i="94"/>
  <c r="B579" i="94"/>
  <c r="B113" i="94"/>
  <c r="P13" i="84"/>
  <c r="O13" i="84"/>
  <c r="B830" i="94"/>
  <c r="B152" i="94"/>
  <c r="B644" i="94"/>
  <c r="B884" i="94"/>
  <c r="B789" i="94"/>
  <c r="B500" i="94"/>
  <c r="B309" i="94"/>
  <c r="B374" i="94"/>
  <c r="B59" i="94"/>
  <c r="B776" i="94"/>
  <c r="B605" i="94"/>
  <c r="B72" i="94"/>
  <c r="B414" i="94"/>
  <c r="B657" i="94"/>
  <c r="B696" i="94"/>
  <c r="B85" i="94"/>
  <c r="B165" i="94"/>
  <c r="B487" i="94"/>
  <c r="L122" i="84"/>
  <c r="B817" i="94"/>
  <c r="B20" i="94"/>
  <c r="B670" i="94"/>
  <c r="B968" i="94"/>
  <c r="B735" i="94"/>
  <c r="B539" i="94"/>
  <c r="B618" i="94"/>
  <c r="B857" i="94"/>
  <c r="B459" i="94"/>
  <c r="B191" i="94"/>
  <c r="B923" i="94"/>
  <c r="B296" i="94"/>
  <c r="A16" i="57"/>
  <c r="B204" i="94"/>
  <c r="B361" i="94"/>
  <c r="B592" i="94"/>
  <c r="B513" i="94"/>
  <c r="B683" i="94"/>
  <c r="B565" i="94"/>
  <c r="B429" i="94"/>
  <c r="B335" i="94"/>
  <c r="B955" i="94"/>
  <c r="B552" i="94"/>
  <c r="B348" i="94"/>
  <c r="B139" i="94"/>
  <c r="B709" i="94"/>
  <c r="B126" i="94"/>
  <c r="B444" i="94"/>
  <c r="B322" i="94"/>
  <c r="B46" i="94"/>
  <c r="B750" i="94"/>
  <c r="B631" i="94"/>
  <c r="B217" i="94"/>
  <c r="B270" i="94"/>
  <c r="B802" i="94"/>
  <c r="B763" i="94"/>
  <c r="B910" i="94"/>
  <c r="B257" i="94"/>
  <c r="B474" i="94"/>
  <c r="B33" i="94"/>
  <c r="B283" i="94"/>
  <c r="B387" i="94"/>
  <c r="D296" i="94"/>
  <c r="D31" i="84"/>
  <c r="M34" i="84"/>
  <c r="J322" i="94"/>
  <c r="M36" i="84"/>
  <c r="V20" i="100"/>
  <c r="J42" i="84"/>
  <c r="J31" i="84"/>
  <c r="J257" i="94"/>
  <c r="F374" i="94"/>
  <c r="F42" i="84"/>
  <c r="M40" i="84"/>
  <c r="Z20" i="100"/>
  <c r="K444" i="94"/>
  <c r="K446" i="94"/>
  <c r="K1022" i="94" s="1"/>
  <c r="M50" i="84"/>
  <c r="I110" i="84"/>
  <c r="I459" i="94"/>
  <c r="M53" i="84"/>
  <c r="K526" i="94"/>
  <c r="M60" i="84"/>
  <c r="K579" i="94"/>
  <c r="K77" i="84"/>
  <c r="K735" i="94"/>
  <c r="M65" i="84"/>
  <c r="J592" i="94"/>
  <c r="M66" i="84"/>
  <c r="F618" i="94"/>
  <c r="D45" i="83"/>
  <c r="U68" i="84"/>
  <c r="F77" i="84"/>
  <c r="F735" i="94"/>
  <c r="M68" i="84"/>
  <c r="D50" i="83"/>
  <c r="U73" i="84"/>
  <c r="F683" i="94"/>
  <c r="M73" i="84"/>
  <c r="M83" i="84"/>
  <c r="G789" i="94"/>
  <c r="G791" i="94"/>
  <c r="G1056" i="94"/>
  <c r="G84" i="84"/>
  <c r="G802" i="94"/>
  <c r="M14" i="87"/>
  <c r="G62" i="94"/>
  <c r="E312" i="94"/>
  <c r="M36" i="87"/>
  <c r="V21" i="100"/>
  <c r="E31" i="87"/>
  <c r="E42" i="87"/>
  <c r="H325" i="94"/>
  <c r="H42" i="87"/>
  <c r="M37" i="87"/>
  <c r="W21" i="100"/>
  <c r="H110" i="87"/>
  <c r="J338" i="94"/>
  <c r="M38" i="87"/>
  <c r="X21" i="100"/>
  <c r="D464" i="94"/>
  <c r="M56" i="87"/>
  <c r="D62" i="87"/>
  <c r="J595" i="94"/>
  <c r="U67" i="87"/>
  <c r="D134" i="94"/>
  <c r="M21" i="92"/>
  <c r="H22" i="100"/>
  <c r="D18" i="92"/>
  <c r="I173" i="94"/>
  <c r="I180" i="94"/>
  <c r="I996" i="94" s="1"/>
  <c r="I29" i="92"/>
  <c r="I238" i="94"/>
  <c r="M24" i="92"/>
  <c r="K22" i="100"/>
  <c r="I110" i="92"/>
  <c r="E225" i="94"/>
  <c r="M28" i="92"/>
  <c r="O22" i="100"/>
  <c r="E29" i="92"/>
  <c r="E238" i="94"/>
  <c r="E110" i="92"/>
  <c r="J31" i="92"/>
  <c r="J252" i="94"/>
  <c r="J291" i="94"/>
  <c r="J424" i="94"/>
  <c r="J431" i="94"/>
  <c r="J1019" i="94" s="1"/>
  <c r="M47" i="92"/>
  <c r="J110" i="92"/>
  <c r="G469" i="94"/>
  <c r="G62" i="92"/>
  <c r="G547" i="94"/>
  <c r="H495" i="94"/>
  <c r="H62" i="92"/>
  <c r="M58" i="92"/>
  <c r="F652" i="94"/>
  <c r="M71" i="92"/>
  <c r="F77" i="92"/>
  <c r="F730" i="94"/>
  <c r="D48" i="91"/>
  <c r="U71" i="92"/>
  <c r="B483" i="94"/>
  <c r="B187" i="94"/>
  <c r="B772" i="94"/>
  <c r="B383" i="94"/>
  <c r="B614" i="94"/>
  <c r="B122" i="94"/>
  <c r="B42" i="94"/>
  <c r="B266" i="94"/>
  <c r="B853" i="94"/>
  <c r="B906" i="94"/>
  <c r="B746" i="94"/>
  <c r="B81" i="94"/>
  <c r="B813" i="94"/>
  <c r="B509" i="94"/>
  <c r="B640" i="94"/>
  <c r="B425" i="94"/>
  <c r="B893" i="94"/>
  <c r="B718" i="94"/>
  <c r="L122" i="14"/>
  <c r="B548" i="94"/>
  <c r="B785" i="94"/>
  <c r="B239" i="94"/>
  <c r="B440" i="94"/>
  <c r="B96" i="94"/>
  <c r="B396" i="94"/>
  <c r="B705" i="94"/>
  <c r="B161" i="94"/>
  <c r="B798" i="94"/>
  <c r="B410" i="94"/>
  <c r="B200" i="94"/>
  <c r="B627" i="94"/>
  <c r="B692" i="94"/>
  <c r="B135" i="94"/>
  <c r="B601" i="94"/>
  <c r="B357" i="94"/>
  <c r="B148" i="94"/>
  <c r="B653" i="94"/>
  <c r="B496" i="94"/>
  <c r="B109" i="94"/>
  <c r="B588" i="94"/>
  <c r="B867" i="94"/>
  <c r="B951" i="94"/>
  <c r="B522" i="94"/>
  <c r="B964" i="94"/>
  <c r="B29" i="94"/>
  <c r="B731" i="94"/>
  <c r="B174" i="94"/>
  <c r="B932" i="94"/>
  <c r="B826" i="94"/>
  <c r="L112" i="27"/>
  <c r="M947" i="94"/>
  <c r="B470" i="94"/>
  <c r="B253" i="94"/>
  <c r="B535" i="94"/>
  <c r="E85" i="94"/>
  <c r="I2" i="84"/>
  <c r="M59" i="92"/>
  <c r="H508" i="94"/>
  <c r="E534" i="94"/>
  <c r="E62" i="92"/>
  <c r="M61" i="92"/>
  <c r="M72" i="92"/>
  <c r="F665" i="94"/>
  <c r="D49" i="91"/>
  <c r="U72" i="92"/>
  <c r="H691" i="94"/>
  <c r="M74" i="92"/>
  <c r="J85" i="94"/>
  <c r="F238" i="94"/>
  <c r="D18" i="91"/>
  <c r="J139" i="94"/>
  <c r="J141" i="94"/>
  <c r="J993" i="94" s="1"/>
  <c r="J18" i="84"/>
  <c r="J100" i="94"/>
  <c r="M21" i="84"/>
  <c r="H20" i="100"/>
  <c r="D46" i="83"/>
  <c r="M69" i="84"/>
  <c r="U69" i="84"/>
  <c r="F631" i="94"/>
  <c r="I670" i="94"/>
  <c r="I77" i="84"/>
  <c r="I735" i="94"/>
  <c r="L776" i="94"/>
  <c r="L84" i="84"/>
  <c r="L802" i="94"/>
  <c r="G31" i="84"/>
  <c r="G257" i="94"/>
  <c r="G270" i="94"/>
  <c r="M32" i="84"/>
  <c r="K309" i="94"/>
  <c r="M35" i="84"/>
  <c r="G361" i="94"/>
  <c r="G42" i="84"/>
  <c r="M39" i="84"/>
  <c r="Y20" i="100"/>
  <c r="L429" i="94"/>
  <c r="L110" i="84"/>
  <c r="K487" i="94"/>
  <c r="K489" i="94"/>
  <c r="K1029" i="94" s="1"/>
  <c r="M57" i="84"/>
  <c r="K62" i="84"/>
  <c r="K552" i="94"/>
  <c r="D513" i="94"/>
  <c r="M59" i="84"/>
  <c r="D62" i="84"/>
  <c r="D539" i="94"/>
  <c r="M61" i="84"/>
  <c r="L592" i="94"/>
  <c r="L77" i="84"/>
  <c r="L735" i="94"/>
  <c r="U72" i="84"/>
  <c r="E110" i="84"/>
  <c r="E77" i="84"/>
  <c r="E735" i="94"/>
  <c r="E670" i="94"/>
  <c r="M72" i="84"/>
  <c r="U76" i="84"/>
  <c r="M76" i="84"/>
  <c r="D722" i="94"/>
  <c r="M482" i="94"/>
  <c r="F20" i="73"/>
  <c r="G20" i="80"/>
  <c r="F204" i="94"/>
  <c r="F206" i="94"/>
  <c r="F998" i="94"/>
  <c r="M26" i="84"/>
  <c r="M20" i="100"/>
  <c r="M82" i="84"/>
  <c r="D84" i="84"/>
  <c r="D776" i="94"/>
  <c r="G516" i="94"/>
  <c r="M60" i="87"/>
  <c r="E108" i="94"/>
  <c r="E18" i="92"/>
  <c r="E95" i="94"/>
  <c r="F160" i="94"/>
  <c r="M23" i="92"/>
  <c r="J22" i="100"/>
  <c r="F18" i="92"/>
  <c r="F95" i="94"/>
  <c r="K199" i="94"/>
  <c r="K29" i="92"/>
  <c r="K238" i="94"/>
  <c r="G31" i="92"/>
  <c r="G252" i="94"/>
  <c r="G278" i="94"/>
  <c r="M33" i="92"/>
  <c r="S22" i="100"/>
  <c r="L317" i="94"/>
  <c r="L31" i="92"/>
  <c r="L252" i="94"/>
  <c r="H454" i="94"/>
  <c r="H110" i="92"/>
  <c r="M53" i="92"/>
  <c r="K521" i="94"/>
  <c r="M60" i="92"/>
  <c r="I613" i="94"/>
  <c r="I620" i="94"/>
  <c r="I1041" i="94" s="1"/>
  <c r="M68" i="92"/>
  <c r="M644" i="94"/>
  <c r="D75" i="94"/>
  <c r="M23" i="94"/>
  <c r="I103" i="94"/>
  <c r="M19" i="87"/>
  <c r="F21" i="100"/>
  <c r="M369" i="94"/>
  <c r="F59" i="94"/>
  <c r="D13" i="83"/>
  <c r="F15" i="84"/>
  <c r="D165" i="94"/>
  <c r="M23" i="84"/>
  <c r="J20" i="100"/>
  <c r="D29" i="84"/>
  <c r="D18" i="84"/>
  <c r="O71" i="84"/>
  <c r="S71" i="84"/>
  <c r="U71" i="84"/>
  <c r="D657" i="94"/>
  <c r="D77" i="84"/>
  <c r="E84" i="84"/>
  <c r="E802" i="94"/>
  <c r="E763" i="94"/>
  <c r="F817" i="94"/>
  <c r="D64" i="83"/>
  <c r="F89" i="84"/>
  <c r="F843" i="94"/>
  <c r="G377" i="94"/>
  <c r="M41" i="87"/>
  <c r="AA21" i="100"/>
  <c r="J449" i="94"/>
  <c r="J461" i="94"/>
  <c r="J1025" i="94"/>
  <c r="J110" i="87"/>
  <c r="G866" i="94"/>
  <c r="G873" i="94"/>
  <c r="G1066" i="94"/>
  <c r="M93" i="92"/>
  <c r="E905" i="94"/>
  <c r="M96" i="92"/>
  <c r="M582" i="94"/>
  <c r="X54" i="65"/>
  <c r="E75" i="91"/>
  <c r="K18" i="87"/>
  <c r="K90" i="94"/>
  <c r="K103" i="94"/>
  <c r="J20" i="94"/>
  <c r="J110" i="84"/>
  <c r="G113" i="94"/>
  <c r="G110" i="84"/>
  <c r="M19" i="84"/>
  <c r="F20" i="100"/>
  <c r="G18" i="84"/>
  <c r="G100" i="94"/>
  <c r="J84" i="84"/>
  <c r="J802" i="94"/>
  <c r="J750" i="94"/>
  <c r="G825" i="94"/>
  <c r="M88" i="92"/>
  <c r="G89" i="92"/>
  <c r="B13" i="83"/>
  <c r="M59" i="94"/>
  <c r="M168" i="94"/>
  <c r="B50" i="91"/>
  <c r="M25" i="84"/>
  <c r="L20" i="100"/>
  <c r="G191" i="94"/>
  <c r="G77" i="84"/>
  <c r="G735" i="94"/>
  <c r="U70" i="84"/>
  <c r="O70" i="84"/>
  <c r="S70" i="84"/>
  <c r="G644" i="94"/>
  <c r="M80" i="84"/>
  <c r="F750" i="94"/>
  <c r="F871" i="94"/>
  <c r="M93" i="84"/>
  <c r="M58" i="87"/>
  <c r="F490" i="94"/>
  <c r="D34" i="86"/>
  <c r="D38" i="86"/>
  <c r="L490" i="94"/>
  <c r="L110" i="87"/>
  <c r="J686" i="94"/>
  <c r="M74" i="87"/>
  <c r="U74" i="87"/>
  <c r="D753" i="94"/>
  <c r="M81" i="87"/>
  <c r="D84" i="87"/>
  <c r="G54" i="94"/>
  <c r="G110" i="92"/>
  <c r="G15" i="92"/>
  <c r="H134" i="94"/>
  <c r="H141" i="94"/>
  <c r="H993" i="94" s="1"/>
  <c r="H18" i="92"/>
  <c r="H95" i="94"/>
  <c r="M25" i="92"/>
  <c r="L22" i="100"/>
  <c r="D186" i="94"/>
  <c r="D29" i="92"/>
  <c r="D44" i="92"/>
  <c r="E304" i="94"/>
  <c r="E31" i="92"/>
  <c r="E252" i="94"/>
  <c r="M35" i="92"/>
  <c r="F469" i="94"/>
  <c r="D32" i="91"/>
  <c r="F62" i="92"/>
  <c r="F547" i="94"/>
  <c r="M56" i="92"/>
  <c r="L495" i="94"/>
  <c r="L62" i="92"/>
  <c r="L547" i="94"/>
  <c r="L110" i="92"/>
  <c r="I534" i="94"/>
  <c r="I62" i="92"/>
  <c r="I547" i="94"/>
  <c r="F395" i="94"/>
  <c r="D19" i="91"/>
  <c r="H165" i="94"/>
  <c r="H110" i="84"/>
  <c r="H18" i="84"/>
  <c r="H100" i="94"/>
  <c r="K361" i="94"/>
  <c r="K42" i="84"/>
  <c r="I574" i="94"/>
  <c r="I77" i="92"/>
  <c r="I730" i="94"/>
  <c r="L639" i="94"/>
  <c r="M70" i="92"/>
  <c r="J704" i="94"/>
  <c r="U75" i="92"/>
  <c r="M75" i="92"/>
  <c r="I784" i="94"/>
  <c r="I791" i="94"/>
  <c r="I1056" i="94"/>
  <c r="I84" i="92"/>
  <c r="I797" i="94"/>
  <c r="K126" i="71"/>
  <c r="L126" i="71"/>
  <c r="B931" i="94"/>
  <c r="B717" i="94"/>
  <c r="B508" i="94"/>
  <c r="B291" i="94"/>
  <c r="B521" i="94"/>
  <c r="B160" i="94"/>
  <c r="B704" i="94"/>
  <c r="B238" i="94"/>
  <c r="B15" i="94"/>
  <c r="I2" i="92"/>
  <c r="B905" i="94"/>
  <c r="B691" i="94"/>
  <c r="B482" i="94"/>
  <c r="B892" i="94"/>
  <c r="B304" i="94"/>
  <c r="B134" i="94"/>
  <c r="B812" i="94"/>
  <c r="B199" i="94"/>
  <c r="B918" i="94"/>
  <c r="L122" i="92"/>
  <c r="P13" i="92"/>
  <c r="B745" i="94"/>
  <c r="B424" i="94"/>
  <c r="B265" i="94"/>
  <c r="B186" i="94"/>
  <c r="B41" i="94"/>
  <c r="B173" i="94"/>
  <c r="B147" i="94"/>
  <c r="B665" i="94"/>
  <c r="B395" i="94"/>
  <c r="B950" i="94"/>
  <c r="B108" i="94"/>
  <c r="B838" i="94"/>
  <c r="B121" i="94"/>
  <c r="B852" i="94"/>
  <c r="B587" i="94"/>
  <c r="B317" i="94"/>
  <c r="A11" i="57"/>
  <c r="B28" i="94"/>
  <c r="B600" i="94"/>
  <c r="B95" i="94"/>
  <c r="B613" i="94"/>
  <c r="B330" i="94"/>
  <c r="B784" i="94"/>
  <c r="B67" i="94"/>
  <c r="B560" i="94"/>
  <c r="B730" i="94"/>
  <c r="B574" i="94"/>
  <c r="B652" i="94"/>
  <c r="B825" i="94"/>
  <c r="B369" i="94"/>
  <c r="B547" i="94"/>
  <c r="B356" i="94"/>
  <c r="B626" i="94"/>
  <c r="D110" i="84"/>
  <c r="D429" i="94"/>
  <c r="M47" i="84"/>
  <c r="D474" i="94"/>
  <c r="M56" i="84"/>
  <c r="F487" i="94"/>
  <c r="F62" i="84"/>
  <c r="F552" i="94"/>
  <c r="D35" i="83"/>
  <c r="F513" i="94"/>
  <c r="J830" i="94"/>
  <c r="J89" i="84"/>
  <c r="J843" i="94"/>
  <c r="K49" i="94"/>
  <c r="K110" i="87"/>
  <c r="G419" i="94"/>
  <c r="G110" i="87"/>
  <c r="M47" i="87"/>
  <c r="D29" i="86"/>
  <c r="F110" i="87"/>
  <c r="F449" i="94"/>
  <c r="Z63" i="65"/>
  <c r="D395" i="94"/>
  <c r="M13" i="87"/>
  <c r="F20" i="94"/>
  <c r="D10" i="83"/>
  <c r="M10" i="84"/>
  <c r="J152" i="94"/>
  <c r="M22" i="84"/>
  <c r="I20" i="100"/>
  <c r="D230" i="94"/>
  <c r="M28" i="84"/>
  <c r="O20" i="100"/>
  <c r="E283" i="94"/>
  <c r="E285" i="94"/>
  <c r="E1005" i="94" s="1"/>
  <c r="E31" i="84"/>
  <c r="E257" i="94"/>
  <c r="D348" i="94"/>
  <c r="M38" i="84"/>
  <c r="X20" i="100"/>
  <c r="K830" i="94"/>
  <c r="K89" i="84"/>
  <c r="K843" i="94"/>
  <c r="J23" i="94"/>
  <c r="J15" i="87"/>
  <c r="E103" i="94"/>
  <c r="E18" i="87"/>
  <c r="E90" i="94"/>
  <c r="I273" i="94"/>
  <c r="I285" i="94"/>
  <c r="I1005" i="94" s="1"/>
  <c r="I31" i="87"/>
  <c r="I247" i="94"/>
  <c r="M33" i="87"/>
  <c r="J286" i="94"/>
  <c r="M34" i="87"/>
  <c r="E569" i="94"/>
  <c r="O65" i="87"/>
  <c r="S65" i="87"/>
  <c r="M65" i="87"/>
  <c r="U65" i="87"/>
  <c r="G587" i="94"/>
  <c r="G77" i="92"/>
  <c r="G730" i="94"/>
  <c r="U66" i="92"/>
  <c r="O66" i="92"/>
  <c r="S66" i="92"/>
  <c r="D626" i="94"/>
  <c r="U69" i="92"/>
  <c r="O69" i="92"/>
  <c r="S69" i="92"/>
  <c r="J652" i="94"/>
  <c r="J77" i="92"/>
  <c r="J730" i="94"/>
  <c r="D745" i="94"/>
  <c r="D84" i="92"/>
  <c r="D66" i="91"/>
  <c r="M35" i="87"/>
  <c r="U21" i="100"/>
  <c r="D325" i="94"/>
  <c r="D42" i="87"/>
  <c r="J325" i="94"/>
  <c r="J42" i="87"/>
  <c r="G477" i="94"/>
  <c r="M57" i="87"/>
  <c r="L119" i="87"/>
  <c r="J779" i="94"/>
  <c r="J84" i="87"/>
  <c r="J792" i="94"/>
  <c r="M83" i="87"/>
  <c r="L15" i="94"/>
  <c r="L15" i="92"/>
  <c r="G18" i="92"/>
  <c r="G95" i="94"/>
  <c r="G121" i="94"/>
  <c r="G128" i="94"/>
  <c r="G992" i="94"/>
  <c r="F31" i="92"/>
  <c r="F252" i="94"/>
  <c r="F291" i="94"/>
  <c r="M34" i="92"/>
  <c r="K42" i="92"/>
  <c r="K330" i="94"/>
  <c r="K337" i="94"/>
  <c r="K1009" i="94"/>
  <c r="I42" i="84"/>
  <c r="I335" i="94"/>
  <c r="L119" i="84"/>
  <c r="E582" i="94"/>
  <c r="U66" i="87"/>
  <c r="L807" i="94"/>
  <c r="M87" i="87"/>
  <c r="J67" i="94"/>
  <c r="M14" i="92"/>
  <c r="J15" i="92"/>
  <c r="K147" i="94"/>
  <c r="K110" i="92"/>
  <c r="L265" i="94"/>
  <c r="M32" i="92"/>
  <c r="H317" i="94"/>
  <c r="M36" i="92"/>
  <c r="V22" i="100"/>
  <c r="H31" i="92"/>
  <c r="H252" i="94"/>
  <c r="E15" i="87"/>
  <c r="E23" i="94"/>
  <c r="E110" i="87"/>
  <c r="H286" i="94"/>
  <c r="H31" i="87"/>
  <c r="H247" i="94"/>
  <c r="I338" i="94"/>
  <c r="I42" i="87"/>
  <c r="G364" i="94"/>
  <c r="G376" i="94"/>
  <c r="G1012" i="94" s="1"/>
  <c r="M40" i="87"/>
  <c r="G42" i="87"/>
  <c r="L42" i="87"/>
  <c r="E529" i="94"/>
  <c r="M61" i="87"/>
  <c r="L569" i="94"/>
  <c r="L77" i="87"/>
  <c r="L725" i="94"/>
  <c r="J77" i="87"/>
  <c r="J725" i="94"/>
  <c r="G758" i="94"/>
  <c r="G84" i="92"/>
  <c r="G797" i="94"/>
  <c r="B312" i="94"/>
  <c r="B90" i="94"/>
  <c r="B338" i="94"/>
  <c r="B155" i="94"/>
  <c r="B377" i="94"/>
  <c r="B647" i="94"/>
  <c r="Z4" i="65"/>
  <c r="J18" i="92"/>
  <c r="J95" i="94"/>
  <c r="J160" i="94"/>
  <c r="K31" i="92"/>
  <c r="K252" i="94"/>
  <c r="K278" i="94"/>
  <c r="M37" i="92"/>
  <c r="W22" i="100"/>
  <c r="G330" i="94"/>
  <c r="K825" i="94"/>
  <c r="K89" i="92"/>
  <c r="K838" i="94"/>
  <c r="B945" i="94"/>
  <c r="B725" i="94"/>
  <c r="B516" i="94"/>
  <c r="B299" i="94"/>
  <c r="B129" i="94"/>
  <c r="B874" i="94"/>
  <c r="B220" i="94"/>
  <c r="B10" i="94"/>
  <c r="B529" i="94"/>
  <c r="L122" i="87"/>
  <c r="B913" i="94"/>
  <c r="B699" i="94"/>
  <c r="B490" i="94"/>
  <c r="B273" i="94"/>
  <c r="B103" i="94"/>
  <c r="B660" i="94"/>
  <c r="B194" i="94"/>
  <c r="B926" i="94"/>
  <c r="B555" i="94"/>
  <c r="G15" i="87"/>
  <c r="G10" i="94"/>
  <c r="G807" i="94"/>
  <c r="G89" i="87"/>
  <c r="D14" i="91"/>
  <c r="D15" i="91"/>
  <c r="F67" i="94"/>
  <c r="M22" i="92"/>
  <c r="I22" i="100"/>
  <c r="G147" i="94"/>
  <c r="E613" i="94"/>
  <c r="O68" i="92"/>
  <c r="B958" i="94"/>
  <c r="B390" i="94"/>
  <c r="B260" i="94"/>
  <c r="B847" i="94"/>
  <c r="B792" i="94"/>
  <c r="B542" i="94"/>
  <c r="B807" i="94"/>
  <c r="K62" i="87"/>
  <c r="K542" i="94"/>
  <c r="K464" i="94"/>
  <c r="O68" i="87"/>
  <c r="D608" i="94"/>
  <c r="F482" i="94"/>
  <c r="D33" i="91"/>
  <c r="K508" i="94"/>
  <c r="K515" i="94"/>
  <c r="K1031" i="94" s="1"/>
  <c r="K62" i="92"/>
  <c r="K547" i="94"/>
  <c r="E717" i="94"/>
  <c r="U76" i="92"/>
  <c r="F62" i="94"/>
  <c r="D14" i="86"/>
  <c r="J31" i="87"/>
  <c r="J247" i="94"/>
  <c r="L312" i="94"/>
  <c r="L31" i="87"/>
  <c r="L247" i="94"/>
  <c r="F464" i="94"/>
  <c r="F62" i="87"/>
  <c r="F542" i="94"/>
  <c r="D42" i="86"/>
  <c r="F569" i="94"/>
  <c r="F686" i="94"/>
  <c r="D73" i="86"/>
  <c r="I807" i="94"/>
  <c r="I89" i="87"/>
  <c r="I833" i="94"/>
  <c r="F771" i="94"/>
  <c r="M82" i="92"/>
  <c r="F84" i="92"/>
  <c r="F797" i="94"/>
  <c r="D59" i="91"/>
  <c r="D61" i="91"/>
  <c r="M83" i="92"/>
  <c r="L812" i="94"/>
  <c r="L89" i="92"/>
  <c r="L838" i="94"/>
  <c r="H569" i="94"/>
  <c r="H77" i="87"/>
  <c r="H725" i="94"/>
  <c r="K807" i="94"/>
  <c r="K89" i="87"/>
  <c r="K833" i="94"/>
  <c r="E356" i="94"/>
  <c r="E363" i="94"/>
  <c r="E1011" i="94" s="1"/>
  <c r="M39" i="92"/>
  <c r="Y22" i="100"/>
  <c r="J382" i="94"/>
  <c r="J389" i="94"/>
  <c r="J1013" i="94" s="1"/>
  <c r="J42" i="92"/>
  <c r="L626" i="94"/>
  <c r="L633" i="94"/>
  <c r="L1042" i="94" s="1"/>
  <c r="L77" i="92"/>
  <c r="L730" i="94"/>
  <c r="L119" i="92"/>
  <c r="T21" i="73"/>
  <c r="Q21" i="74"/>
  <c r="H21" i="78"/>
  <c r="D449" i="94"/>
  <c r="D110" i="87"/>
  <c r="R22" i="74"/>
  <c r="I20" i="78"/>
  <c r="K691" i="94"/>
  <c r="K77" i="92"/>
  <c r="K730" i="94"/>
  <c r="G89" i="72"/>
  <c r="G93" i="72"/>
  <c r="X65" i="65"/>
  <c r="L832" i="94"/>
  <c r="L1061" i="94" s="1"/>
  <c r="H711" i="94"/>
  <c r="H1048" i="94" s="1"/>
  <c r="J819" i="94"/>
  <c r="J1060" i="94" s="1"/>
  <c r="J1062" i="94" s="1"/>
  <c r="M611" i="94"/>
  <c r="H154" i="94"/>
  <c r="H994" i="94"/>
  <c r="B53" i="36"/>
  <c r="M720" i="94"/>
  <c r="M703" i="94"/>
  <c r="F65" i="26"/>
  <c r="D19" i="26"/>
  <c r="S68" i="27"/>
  <c r="G219" i="94"/>
  <c r="G999" i="94"/>
  <c r="H752" i="94"/>
  <c r="H1053" i="94" s="1"/>
  <c r="T66" i="65"/>
  <c r="D38" i="51"/>
  <c r="T49" i="65"/>
  <c r="B60" i="51"/>
  <c r="M138" i="94"/>
  <c r="B43" i="51"/>
  <c r="T53" i="65"/>
  <c r="M591" i="94"/>
  <c r="H16" i="97"/>
  <c r="D61" i="41"/>
  <c r="R19" i="100"/>
  <c r="D15" i="41"/>
  <c r="H832" i="94"/>
  <c r="H1061" i="94"/>
  <c r="Y70" i="22"/>
  <c r="E659" i="94"/>
  <c r="E1044" i="94"/>
  <c r="F57" i="41"/>
  <c r="K44" i="42"/>
  <c r="D66" i="36"/>
  <c r="M828" i="94"/>
  <c r="H21" i="98"/>
  <c r="Z13" i="65"/>
  <c r="G925" i="94"/>
  <c r="G1070" i="94"/>
  <c r="M6" i="65"/>
  <c r="M7" i="65"/>
  <c r="B45" i="26"/>
  <c r="E899" i="94"/>
  <c r="E1068" i="94"/>
  <c r="O13" i="47"/>
  <c r="F35" i="41"/>
  <c r="X15" i="102"/>
  <c r="N15" i="101"/>
  <c r="X14" i="102"/>
  <c r="N14" i="101"/>
  <c r="N20" i="101"/>
  <c r="X20" i="102"/>
  <c r="F21" i="73"/>
  <c r="N13" i="101"/>
  <c r="X13" i="102"/>
  <c r="X12" i="102"/>
  <c r="N12" i="101"/>
  <c r="N17" i="101"/>
  <c r="X17" i="102"/>
  <c r="I13" i="64"/>
  <c r="P76" i="17"/>
  <c r="I6" i="81"/>
  <c r="R20" i="99"/>
  <c r="E74" i="26"/>
  <c r="D55" i="65"/>
  <c r="F44" i="92"/>
  <c r="B13" i="46"/>
  <c r="T33" i="65"/>
  <c r="D81" i="103"/>
  <c r="K44" i="62"/>
  <c r="H44" i="62"/>
  <c r="H413" i="94"/>
  <c r="I8" i="2"/>
  <c r="C6" i="2"/>
  <c r="J10" i="2" s="1"/>
  <c r="R13" i="65"/>
  <c r="Y73" i="42"/>
  <c r="O18" i="101"/>
  <c r="H16" i="98"/>
  <c r="X19" i="102"/>
  <c r="N19" i="101"/>
  <c r="O13" i="101"/>
  <c r="H18" i="98"/>
  <c r="D66" i="16"/>
  <c r="I141" i="94"/>
  <c r="I993" i="94" s="1"/>
  <c r="I832" i="94"/>
  <c r="I1061" i="94" s="1"/>
  <c r="Y73" i="17"/>
  <c r="D33" i="65"/>
  <c r="D9" i="103"/>
  <c r="T48" i="65"/>
  <c r="X37" i="62"/>
  <c r="N16" i="101"/>
  <c r="X16" i="102"/>
  <c r="N11" i="101"/>
  <c r="X11" i="102"/>
  <c r="T23" i="65"/>
  <c r="T24" i="65" s="1"/>
  <c r="K180" i="94"/>
  <c r="K996" i="94" s="1"/>
  <c r="F925" i="94"/>
  <c r="F1070" i="94" s="1"/>
  <c r="B35" i="26"/>
  <c r="H242" i="94"/>
  <c r="H17" i="98"/>
  <c r="O15" i="101"/>
  <c r="H20" i="98"/>
  <c r="H376" i="94"/>
  <c r="H1012" i="94"/>
  <c r="G15" i="98"/>
  <c r="E10" i="63"/>
  <c r="J41" i="65"/>
  <c r="Y68" i="27"/>
  <c r="M89" i="37"/>
  <c r="M841" i="94"/>
  <c r="X36" i="17"/>
  <c r="N21" i="101"/>
  <c r="X21" i="102"/>
  <c r="O13" i="97"/>
  <c r="G18" i="80"/>
  <c r="K115" i="63"/>
  <c r="B49" i="2"/>
  <c r="F49" i="2"/>
  <c r="K49" i="2"/>
  <c r="N49" i="2"/>
  <c r="Q16" i="97"/>
  <c r="C16" i="57"/>
  <c r="G20" i="98"/>
  <c r="C11" i="83"/>
  <c r="W13" i="65"/>
  <c r="W53" i="65"/>
  <c r="F685" i="94"/>
  <c r="J620" i="94"/>
  <c r="J1041" i="94" s="1"/>
  <c r="X26" i="27"/>
  <c r="E44" i="62"/>
  <c r="E413" i="94"/>
  <c r="B45" i="41"/>
  <c r="X46" i="22"/>
  <c r="M288" i="94"/>
  <c r="F33" i="51"/>
  <c r="M15" i="84"/>
  <c r="P51" i="65"/>
  <c r="D110" i="45"/>
  <c r="F44" i="87"/>
  <c r="F404" i="94"/>
  <c r="H298" i="94"/>
  <c r="H1006" i="94" s="1"/>
  <c r="G115" i="94"/>
  <c r="G991" i="94" s="1"/>
  <c r="M647" i="94"/>
  <c r="D18" i="83"/>
  <c r="X33" i="92"/>
  <c r="Y68" i="42"/>
  <c r="S19" i="97"/>
  <c r="M132" i="94"/>
  <c r="M190" i="94"/>
  <c r="E73" i="41"/>
  <c r="S12" i="100"/>
  <c r="J502" i="94"/>
  <c r="J1030" i="94"/>
  <c r="D61" i="36"/>
  <c r="M774" i="94"/>
  <c r="X25" i="22"/>
  <c r="P10" i="65"/>
  <c r="D51" i="46"/>
  <c r="F51" i="46"/>
  <c r="D38" i="21"/>
  <c r="F65" i="36"/>
  <c r="D38" i="26"/>
  <c r="T39" i="65"/>
  <c r="J74" i="94"/>
  <c r="J986" i="94"/>
  <c r="M625" i="94"/>
  <c r="D22" i="65"/>
  <c r="G22" i="94"/>
  <c r="G982" i="94"/>
  <c r="L22" i="94"/>
  <c r="L982" i="94" s="1"/>
  <c r="L987" i="94" s="1"/>
  <c r="Y74" i="47"/>
  <c r="E115" i="94"/>
  <c r="E991" i="94" s="1"/>
  <c r="H672" i="94"/>
  <c r="H1045" i="94"/>
  <c r="M615" i="94"/>
  <c r="Y65" i="37"/>
  <c r="M109" i="94"/>
  <c r="K44" i="87"/>
  <c r="K404" i="94"/>
  <c r="M13" i="100"/>
  <c r="M24" i="100"/>
  <c r="M45" i="100" s="1"/>
  <c r="J12" i="97"/>
  <c r="X25" i="87"/>
  <c r="P56" i="65"/>
  <c r="B11" i="91"/>
  <c r="O13" i="92"/>
  <c r="B47" i="83"/>
  <c r="F47" i="83"/>
  <c r="K47" i="83"/>
  <c r="M47" i="83"/>
  <c r="H337" i="94"/>
  <c r="H1009" i="94" s="1"/>
  <c r="K324" i="94"/>
  <c r="K1008" i="94"/>
  <c r="D502" i="94"/>
  <c r="D1030" i="94"/>
  <c r="D61" i="2"/>
  <c r="D74" i="36"/>
  <c r="F44" i="32"/>
  <c r="M870" i="94"/>
  <c r="X46" i="62"/>
  <c r="X75" i="42"/>
  <c r="X77" i="42"/>
  <c r="K397" i="94"/>
  <c r="X33" i="14"/>
  <c r="B13" i="51"/>
  <c r="X29" i="17"/>
  <c r="R57" i="65"/>
  <c r="M196" i="94"/>
  <c r="L52" i="65"/>
  <c r="M578" i="94"/>
  <c r="Y72" i="14"/>
  <c r="D15" i="36"/>
  <c r="M347" i="94"/>
  <c r="G841" i="94"/>
  <c r="M149" i="94"/>
  <c r="O13" i="62"/>
  <c r="D38" i="16"/>
  <c r="B46" i="31"/>
  <c r="D105" i="30"/>
  <c r="F394" i="94"/>
  <c r="B50" i="41"/>
  <c r="L117" i="63"/>
  <c r="D337" i="94"/>
  <c r="D1009" i="94"/>
  <c r="Y76" i="92"/>
  <c r="M387" i="94"/>
  <c r="E75" i="83"/>
  <c r="M28" i="94"/>
  <c r="M108" i="94"/>
  <c r="X75" i="62"/>
  <c r="X77" i="62" s="1"/>
  <c r="B44" i="16"/>
  <c r="D104" i="15"/>
  <c r="G489" i="94"/>
  <c r="G1029" i="94" s="1"/>
  <c r="J35" i="94"/>
  <c r="J983" i="94"/>
  <c r="B13" i="91"/>
  <c r="M207" i="94"/>
  <c r="M194" i="94"/>
  <c r="D15" i="46"/>
  <c r="L12" i="97"/>
  <c r="O13" i="32"/>
  <c r="D285" i="94"/>
  <c r="D1005" i="94"/>
  <c r="G18" i="97"/>
  <c r="M868" i="94"/>
  <c r="M119" i="94"/>
  <c r="M880" i="94"/>
  <c r="B59" i="86"/>
  <c r="F59" i="86"/>
  <c r="F34" i="83"/>
  <c r="J34" i="83"/>
  <c r="J19" i="65"/>
  <c r="E180" i="94"/>
  <c r="E996" i="94"/>
  <c r="T13" i="97"/>
  <c r="M58" i="94"/>
  <c r="M61" i="94" s="1"/>
  <c r="B25" i="57" s="1"/>
  <c r="F25" i="57" s="1"/>
  <c r="X25" i="27"/>
  <c r="X27" i="27"/>
  <c r="H14" i="74"/>
  <c r="G672" i="94"/>
  <c r="G1045" i="94" s="1"/>
  <c r="I12" i="100"/>
  <c r="D74" i="46"/>
  <c r="Y12" i="100"/>
  <c r="M697" i="94"/>
  <c r="D15" i="26"/>
  <c r="M744" i="94"/>
  <c r="N13" i="65"/>
  <c r="D38" i="46"/>
  <c r="G128" i="71"/>
  <c r="K116" i="71"/>
  <c r="L116" i="71"/>
  <c r="C50" i="46"/>
  <c r="D128" i="71"/>
  <c r="C52" i="41"/>
  <c r="D62" i="82"/>
  <c r="M33" i="94"/>
  <c r="V11" i="65"/>
  <c r="W11" i="65"/>
  <c r="D18" i="95"/>
  <c r="F18" i="95"/>
  <c r="J324" i="94"/>
  <c r="J1008" i="94"/>
  <c r="J594" i="94"/>
  <c r="J1039" i="94" s="1"/>
  <c r="J1050" i="94" s="1"/>
  <c r="D66" i="83"/>
  <c r="J752" i="94"/>
  <c r="J1053" i="94" s="1"/>
  <c r="F180" i="94"/>
  <c r="F996" i="94"/>
  <c r="D620" i="94"/>
  <c r="D1041" i="94" s="1"/>
  <c r="D61" i="94"/>
  <c r="D985" i="94"/>
  <c r="D698" i="94"/>
  <c r="D1047" i="94" s="1"/>
  <c r="M682" i="94"/>
  <c r="T56" i="65"/>
  <c r="D19" i="51"/>
  <c r="M89" i="62"/>
  <c r="M842" i="94" s="1"/>
  <c r="M845" i="94" s="1"/>
  <c r="T82" i="65"/>
  <c r="L19" i="100"/>
  <c r="I16" i="97"/>
  <c r="M282" i="94"/>
  <c r="F26" i="51"/>
  <c r="M373" i="94"/>
  <c r="S16" i="97"/>
  <c r="F60" i="51"/>
  <c r="N16" i="80"/>
  <c r="Y19" i="100"/>
  <c r="M360" i="94"/>
  <c r="W19" i="100"/>
  <c r="M334" i="94"/>
  <c r="F242" i="94"/>
  <c r="F245" i="94" s="1"/>
  <c r="D30" i="57" s="1"/>
  <c r="D18" i="51"/>
  <c r="D206" i="94"/>
  <c r="D998" i="94"/>
  <c r="L752" i="94"/>
  <c r="L1053" i="94" s="1"/>
  <c r="L1057" i="94" s="1"/>
  <c r="I35" i="94"/>
  <c r="I983" i="94"/>
  <c r="R16" i="97"/>
  <c r="Y73" i="62"/>
  <c r="I44" i="62"/>
  <c r="B50" i="51"/>
  <c r="R28" i="62"/>
  <c r="B42" i="51"/>
  <c r="C42" i="51" s="1"/>
  <c r="U77" i="62"/>
  <c r="X34" i="62"/>
  <c r="M177" i="94"/>
  <c r="P16" i="97"/>
  <c r="T55" i="65"/>
  <c r="B49" i="51"/>
  <c r="S68" i="62"/>
  <c r="D17" i="95"/>
  <c r="F17" i="95" s="1"/>
  <c r="F22" i="95" s="1"/>
  <c r="G44" i="62"/>
  <c r="G413" i="94"/>
  <c r="P76" i="62"/>
  <c r="I13" i="81" s="1"/>
  <c r="I59" i="63"/>
  <c r="D34" i="68"/>
  <c r="X45" i="62"/>
  <c r="F698" i="94"/>
  <c r="D85" i="57" s="1"/>
  <c r="K154" i="94"/>
  <c r="K994" i="94" s="1"/>
  <c r="M140" i="94"/>
  <c r="X45" i="47"/>
  <c r="M205" i="94"/>
  <c r="R18" i="100"/>
  <c r="M271" i="94"/>
  <c r="K832" i="94"/>
  <c r="K1061" i="94"/>
  <c r="H14" i="97"/>
  <c r="R83" i="65"/>
  <c r="J14" i="97"/>
  <c r="J285" i="94"/>
  <c r="J1005" i="94" s="1"/>
  <c r="G14" i="97"/>
  <c r="K14" i="97"/>
  <c r="M527" i="94"/>
  <c r="Y76" i="47"/>
  <c r="M218" i="94"/>
  <c r="K17" i="100"/>
  <c r="D109" i="40"/>
  <c r="C50" i="41"/>
  <c r="M786" i="94"/>
  <c r="B60" i="41"/>
  <c r="F60" i="41"/>
  <c r="N13" i="80"/>
  <c r="P66" i="65"/>
  <c r="G659" i="94"/>
  <c r="G1044" i="94"/>
  <c r="E167" i="94"/>
  <c r="E995" i="94" s="1"/>
  <c r="F52" i="41"/>
  <c r="K52" i="41"/>
  <c r="O52" i="41"/>
  <c r="H13" i="97"/>
  <c r="F50" i="41"/>
  <c r="K50" i="41"/>
  <c r="M50" i="41"/>
  <c r="I206" i="94"/>
  <c r="I998" i="94" s="1"/>
  <c r="D38" i="41"/>
  <c r="F376" i="94"/>
  <c r="F1012" i="94" s="1"/>
  <c r="X42" i="42"/>
  <c r="D819" i="94"/>
  <c r="D1060" i="94" s="1"/>
  <c r="D1062" i="94" s="1"/>
  <c r="S74" i="84"/>
  <c r="S78" i="84"/>
  <c r="H324" i="94"/>
  <c r="H1008" i="94" s="1"/>
  <c r="M861" i="94"/>
  <c r="J232" i="94"/>
  <c r="J1000" i="94"/>
  <c r="M72" i="94"/>
  <c r="G311" i="94"/>
  <c r="G1007" i="94" s="1"/>
  <c r="I44" i="27"/>
  <c r="I63" i="27"/>
  <c r="G17" i="97"/>
  <c r="F36" i="46"/>
  <c r="L63" i="65"/>
  <c r="N71" i="65"/>
  <c r="B45" i="51"/>
  <c r="T51" i="65"/>
  <c r="E74" i="51"/>
  <c r="M617" i="94"/>
  <c r="M523" i="94"/>
  <c r="B36" i="41"/>
  <c r="P42" i="65"/>
  <c r="Z83" i="65"/>
  <c r="G646" i="94"/>
  <c r="G1043" i="94" s="1"/>
  <c r="X49" i="65"/>
  <c r="T20" i="97"/>
  <c r="V57" i="65"/>
  <c r="U77" i="42"/>
  <c r="H515" i="94"/>
  <c r="H1031" i="94" s="1"/>
  <c r="H1034" i="94" s="1"/>
  <c r="F646" i="94"/>
  <c r="F1043" i="94" s="1"/>
  <c r="K581" i="94"/>
  <c r="K1038" i="94" s="1"/>
  <c r="K1050" i="94" s="1"/>
  <c r="L44" i="27"/>
  <c r="L406" i="94"/>
  <c r="D108" i="30"/>
  <c r="G752" i="94"/>
  <c r="G1053" i="94" s="1"/>
  <c r="M382" i="94"/>
  <c r="R22" i="97"/>
  <c r="M276" i="94"/>
  <c r="B50" i="16"/>
  <c r="F50" i="16"/>
  <c r="K50" i="16"/>
  <c r="M50" i="16"/>
  <c r="B59" i="36"/>
  <c r="F59" i="36"/>
  <c r="R42" i="65"/>
  <c r="X28" i="17"/>
  <c r="X30" i="17"/>
  <c r="I12" i="74"/>
  <c r="J17" i="97"/>
  <c r="J63" i="65"/>
  <c r="F724" i="94"/>
  <c r="F1049" i="94" s="1"/>
  <c r="M598" i="94"/>
  <c r="O13" i="37"/>
  <c r="J22" i="97"/>
  <c r="X83" i="65"/>
  <c r="F11" i="41"/>
  <c r="J11" i="41"/>
  <c r="E28" i="63"/>
  <c r="D54" i="40"/>
  <c r="B44" i="41"/>
  <c r="P50" i="65"/>
  <c r="M428" i="94"/>
  <c r="M431" i="94" s="1"/>
  <c r="B35" i="57" s="1"/>
  <c r="F35" i="57" s="1"/>
  <c r="K22" i="101" s="1"/>
  <c r="T29" i="65"/>
  <c r="B23" i="51"/>
  <c r="P76" i="42"/>
  <c r="I11" i="81"/>
  <c r="M512" i="94"/>
  <c r="M515" i="94" s="1"/>
  <c r="B47" i="57" s="1"/>
  <c r="F47" i="57" s="1"/>
  <c r="T41" i="65"/>
  <c r="B35" i="51"/>
  <c r="W18" i="100"/>
  <c r="P14" i="97"/>
  <c r="J23" i="65"/>
  <c r="K23" i="65" s="1"/>
  <c r="K24" i="65" s="1"/>
  <c r="M572" i="94"/>
  <c r="D27" i="68"/>
  <c r="I350" i="94"/>
  <c r="I1010" i="94"/>
  <c r="M696" i="94"/>
  <c r="X34" i="17"/>
  <c r="Q22" i="22"/>
  <c r="D11" i="65"/>
  <c r="M908" i="94"/>
  <c r="F390" i="94"/>
  <c r="B59" i="51"/>
  <c r="F59" i="51"/>
  <c r="M775" i="94"/>
  <c r="T65" i="65"/>
  <c r="F33" i="91"/>
  <c r="J33" i="91"/>
  <c r="I581" i="94"/>
  <c r="I1038" i="94" s="1"/>
  <c r="Y66" i="87"/>
  <c r="X58" i="65"/>
  <c r="Z39" i="65"/>
  <c r="V84" i="65"/>
  <c r="Y67" i="87"/>
  <c r="M817" i="94"/>
  <c r="F832" i="94"/>
  <c r="F1061" i="94" s="1"/>
  <c r="D38" i="31"/>
  <c r="X75" i="22"/>
  <c r="Y75" i="22"/>
  <c r="L115" i="94"/>
  <c r="L991" i="94"/>
  <c r="F1033" i="94"/>
  <c r="H19" i="97"/>
  <c r="M319" i="94"/>
  <c r="D15" i="2"/>
  <c r="M156" i="94"/>
  <c r="M151" i="94"/>
  <c r="D363" i="94"/>
  <c r="D1011" i="94" s="1"/>
  <c r="D57" i="1"/>
  <c r="I376" i="94"/>
  <c r="I1012" i="94" s="1"/>
  <c r="F13" i="46"/>
  <c r="J13" i="46"/>
  <c r="P13" i="97"/>
  <c r="V11" i="100"/>
  <c r="P64" i="65"/>
  <c r="Y67" i="17"/>
  <c r="I88" i="63"/>
  <c r="J39" i="65"/>
  <c r="M222" i="94"/>
  <c r="M822" i="94"/>
  <c r="B13" i="36"/>
  <c r="P76" i="87"/>
  <c r="I15" i="81"/>
  <c r="F11" i="86"/>
  <c r="J11" i="86"/>
  <c r="P84" i="65"/>
  <c r="M907" i="94"/>
  <c r="B51" i="51"/>
  <c r="M695" i="94"/>
  <c r="Y74" i="62"/>
  <c r="D74" i="51"/>
  <c r="T57" i="65"/>
  <c r="M32" i="94"/>
  <c r="M35" i="94" s="1"/>
  <c r="B23" i="57" s="1"/>
  <c r="F23" i="57" s="1"/>
  <c r="T11" i="65"/>
  <c r="B11" i="51"/>
  <c r="C11" i="51"/>
  <c r="B64" i="51"/>
  <c r="F64" i="51"/>
  <c r="T70" i="65"/>
  <c r="T72" i="65"/>
  <c r="T73" i="65" s="1"/>
  <c r="P39" i="65"/>
  <c r="M484" i="94"/>
  <c r="B33" i="41"/>
  <c r="X45" i="42"/>
  <c r="F607" i="94"/>
  <c r="F1040" i="94" s="1"/>
  <c r="K413" i="94"/>
  <c r="K63" i="62"/>
  <c r="B46" i="51"/>
  <c r="C46" i="51" s="1"/>
  <c r="T52" i="65"/>
  <c r="M630" i="94"/>
  <c r="Y69" i="62"/>
  <c r="X75" i="87"/>
  <c r="Y75" i="87"/>
  <c r="Z49" i="65"/>
  <c r="H219" i="94"/>
  <c r="H999" i="94" s="1"/>
  <c r="M367" i="94"/>
  <c r="M349" i="94"/>
  <c r="Q14" i="97"/>
  <c r="Z10" i="65"/>
  <c r="M699" i="94"/>
  <c r="F819" i="94"/>
  <c r="D76" i="57" s="1"/>
  <c r="D78" i="57" s="1"/>
  <c r="M500" i="94"/>
  <c r="J350" i="94"/>
  <c r="J1010" i="94" s="1"/>
  <c r="B64" i="83"/>
  <c r="F64" i="83"/>
  <c r="M862" i="94"/>
  <c r="K765" i="94"/>
  <c r="K1054" i="94" s="1"/>
  <c r="J832" i="94"/>
  <c r="J1061" i="94"/>
  <c r="K22" i="94"/>
  <c r="K982" i="94"/>
  <c r="J489" i="94"/>
  <c r="J1029" i="94"/>
  <c r="D54" i="1"/>
  <c r="G324" i="94"/>
  <c r="G1008" i="94" s="1"/>
  <c r="W17" i="100"/>
  <c r="O11" i="97"/>
  <c r="F56" i="65"/>
  <c r="B58" i="41"/>
  <c r="F58" i="41"/>
  <c r="M15" i="47"/>
  <c r="M86" i="94"/>
  <c r="D64" i="45"/>
  <c r="D65" i="50"/>
  <c r="J71" i="65"/>
  <c r="L44" i="32"/>
  <c r="L408" i="94"/>
  <c r="N82" i="65"/>
  <c r="D19" i="86"/>
  <c r="M708" i="94"/>
  <c r="B52" i="51"/>
  <c r="T58" i="65"/>
  <c r="M721" i="94"/>
  <c r="T59" i="65"/>
  <c r="B53" i="51"/>
  <c r="X34" i="42"/>
  <c r="D193" i="94"/>
  <c r="D997" i="94" s="1"/>
  <c r="O12" i="97"/>
  <c r="G44" i="22"/>
  <c r="G405" i="94"/>
  <c r="H44" i="84"/>
  <c r="H414" i="94"/>
  <c r="D899" i="94"/>
  <c r="D1068" i="94" s="1"/>
  <c r="F50" i="65"/>
  <c r="F14" i="2"/>
  <c r="H22" i="63"/>
  <c r="B33" i="26"/>
  <c r="F65" i="51"/>
  <c r="F48" i="65"/>
  <c r="Y65" i="17"/>
  <c r="B10" i="91"/>
  <c r="M199" i="94"/>
  <c r="V40" i="65"/>
  <c r="D141" i="94"/>
  <c r="D993" i="94" s="1"/>
  <c r="G74" i="94"/>
  <c r="G986" i="94" s="1"/>
  <c r="G987" i="94" s="1"/>
  <c r="J115" i="94"/>
  <c r="J991" i="94" s="1"/>
  <c r="I219" i="94"/>
  <c r="I999" i="94" s="1"/>
  <c r="Q26" i="14"/>
  <c r="I446" i="94"/>
  <c r="I1022" i="94" s="1"/>
  <c r="Y70" i="27"/>
  <c r="H63" i="62"/>
  <c r="H91" i="62" s="1"/>
  <c r="D581" i="94"/>
  <c r="D1038" i="94" s="1"/>
  <c r="J13" i="100"/>
  <c r="M354" i="94"/>
  <c r="E752" i="94"/>
  <c r="E1053" i="94" s="1"/>
  <c r="M818" i="94"/>
  <c r="B64" i="46"/>
  <c r="F64" i="46"/>
  <c r="R70" i="65"/>
  <c r="S68" i="42"/>
  <c r="D15" i="95"/>
  <c r="F15" i="95"/>
  <c r="Y76" i="42"/>
  <c r="M894" i="94"/>
  <c r="P83" i="65"/>
  <c r="Y68" i="62"/>
  <c r="X11" i="65"/>
  <c r="G476" i="94"/>
  <c r="G1028" i="94" s="1"/>
  <c r="Y21" i="100"/>
  <c r="D66" i="86"/>
  <c r="K22" i="97"/>
  <c r="D18" i="86"/>
  <c r="F233" i="94"/>
  <c r="X84" i="65"/>
  <c r="M673" i="94"/>
  <c r="D873" i="94"/>
  <c r="D1066" i="94" s="1"/>
  <c r="D54" i="85"/>
  <c r="Y73" i="87"/>
  <c r="L44" i="92"/>
  <c r="L409" i="94"/>
  <c r="L238" i="94"/>
  <c r="F1028" i="94"/>
  <c r="K21" i="97"/>
  <c r="S21" i="97"/>
  <c r="L272" i="94"/>
  <c r="L1004" i="94"/>
  <c r="Z85" i="65"/>
  <c r="M918" i="94"/>
  <c r="M626" i="94"/>
  <c r="K167" i="94"/>
  <c r="K995" i="94" s="1"/>
  <c r="H607" i="94"/>
  <c r="H1040" i="94" s="1"/>
  <c r="B46" i="91"/>
  <c r="D105" i="90"/>
  <c r="B53" i="91"/>
  <c r="F53" i="91"/>
  <c r="K53" i="91"/>
  <c r="O53" i="91"/>
  <c r="Z52" i="65"/>
  <c r="G44" i="92"/>
  <c r="G409" i="94"/>
  <c r="Z59" i="65"/>
  <c r="F1032" i="94"/>
  <c r="D232" i="94"/>
  <c r="D1000" i="94"/>
  <c r="B57" i="86"/>
  <c r="F57" i="86"/>
  <c r="J21" i="100"/>
  <c r="M874" i="94"/>
  <c r="D15" i="86"/>
  <c r="M740" i="94"/>
  <c r="Y71" i="87"/>
  <c r="M129" i="94"/>
  <c r="B44" i="86"/>
  <c r="G272" i="94"/>
  <c r="G1004" i="94" s="1"/>
  <c r="B65" i="86"/>
  <c r="F65" i="86"/>
  <c r="M820" i="94"/>
  <c r="H22" i="97"/>
  <c r="E74" i="86"/>
  <c r="F48" i="86"/>
  <c r="X18" i="65"/>
  <c r="M155" i="94"/>
  <c r="E724" i="94"/>
  <c r="E1049" i="94" s="1"/>
  <c r="B29" i="86"/>
  <c r="D67" i="85"/>
  <c r="B45" i="86"/>
  <c r="D113" i="85"/>
  <c r="F659" i="94"/>
  <c r="D60" i="57" s="1"/>
  <c r="Q22" i="87"/>
  <c r="D633" i="94"/>
  <c r="D1042" i="94" s="1"/>
  <c r="G193" i="94"/>
  <c r="G997" i="94"/>
  <c r="M449" i="94"/>
  <c r="M608" i="94"/>
  <c r="X71" i="65"/>
  <c r="D53" i="85"/>
  <c r="F10" i="86"/>
  <c r="J10" i="86"/>
  <c r="H819" i="94"/>
  <c r="H1060" i="94"/>
  <c r="E75" i="86"/>
  <c r="L180" i="94"/>
  <c r="L996" i="94" s="1"/>
  <c r="X10" i="65"/>
  <c r="M712" i="94"/>
  <c r="X59" i="65"/>
  <c r="X52" i="65"/>
  <c r="M621" i="94"/>
  <c r="B46" i="86"/>
  <c r="Y68" i="87"/>
  <c r="M10" i="94"/>
  <c r="B53" i="86"/>
  <c r="M503" i="94"/>
  <c r="D832" i="94"/>
  <c r="D1061" i="94"/>
  <c r="M150" i="94"/>
  <c r="N53" i="65"/>
  <c r="B47" i="36"/>
  <c r="N57" i="65"/>
  <c r="B51" i="36"/>
  <c r="F324" i="94"/>
  <c r="F1008" i="94" s="1"/>
  <c r="B48" i="36"/>
  <c r="M655" i="94"/>
  <c r="M815" i="94"/>
  <c r="N70" i="65"/>
  <c r="B64" i="36"/>
  <c r="D167" i="94"/>
  <c r="D995" i="94" s="1"/>
  <c r="E685" i="94"/>
  <c r="E1046" i="94" s="1"/>
  <c r="D38" i="36"/>
  <c r="M957" i="94"/>
  <c r="M18" i="94"/>
  <c r="N10" i="65"/>
  <c r="B10" i="36"/>
  <c r="E873" i="94"/>
  <c r="E1066" i="94"/>
  <c r="H594" i="94"/>
  <c r="H1039" i="94"/>
  <c r="E620" i="94"/>
  <c r="E1041" i="94" s="1"/>
  <c r="X29" i="37"/>
  <c r="P76" i="37"/>
  <c r="I10" i="81"/>
  <c r="Y70" i="37"/>
  <c r="Y71" i="37"/>
  <c r="M629" i="94"/>
  <c r="B46" i="36"/>
  <c r="N52" i="65"/>
  <c r="B42" i="36"/>
  <c r="D31" i="68"/>
  <c r="N48" i="65"/>
  <c r="F13" i="36"/>
  <c r="Y74" i="37"/>
  <c r="D659" i="94"/>
  <c r="D1044" i="94" s="1"/>
  <c r="J15" i="100"/>
  <c r="E232" i="94"/>
  <c r="E1000" i="94"/>
  <c r="L18" i="65"/>
  <c r="M159" i="94"/>
  <c r="D15" i="31"/>
  <c r="F57" i="31"/>
  <c r="F581" i="94"/>
  <c r="D54" i="57" s="1"/>
  <c r="F219" i="94"/>
  <c r="F999" i="94"/>
  <c r="Y74" i="32"/>
  <c r="G141" i="94"/>
  <c r="G993" i="94" s="1"/>
  <c r="G285" i="94"/>
  <c r="G1005" i="94" s="1"/>
  <c r="E607" i="94"/>
  <c r="E1040" i="94"/>
  <c r="B37" i="31"/>
  <c r="F37" i="31"/>
  <c r="M533" i="94"/>
  <c r="E711" i="94"/>
  <c r="E1048" i="94"/>
  <c r="M436" i="94"/>
  <c r="M314" i="94"/>
  <c r="J22" i="65"/>
  <c r="B43" i="26"/>
  <c r="Y66" i="27"/>
  <c r="M584" i="94"/>
  <c r="J49" i="65"/>
  <c r="J44" i="27"/>
  <c r="J63" i="27"/>
  <c r="B47" i="26"/>
  <c r="U77" i="27"/>
  <c r="I324" i="94"/>
  <c r="I1008" i="94" s="1"/>
  <c r="M636" i="94"/>
  <c r="M29" i="27"/>
  <c r="P14" i="100"/>
  <c r="B57" i="26"/>
  <c r="F57" i="26"/>
  <c r="L502" i="94"/>
  <c r="L1030" i="94"/>
  <c r="J14" i="65"/>
  <c r="K14" i="100"/>
  <c r="H12" i="97"/>
  <c r="M170" i="94"/>
  <c r="AA14" i="100"/>
  <c r="T12" i="97"/>
  <c r="M379" i="94"/>
  <c r="Q26" i="27"/>
  <c r="D791" i="94"/>
  <c r="D1056" i="94" s="1"/>
  <c r="X46" i="27"/>
  <c r="M42" i="27"/>
  <c r="AB14" i="100"/>
  <c r="B14" i="26"/>
  <c r="F14" i="26"/>
  <c r="M466" i="94"/>
  <c r="B32" i="26"/>
  <c r="J38" i="65"/>
  <c r="M767" i="94"/>
  <c r="H65" i="65"/>
  <c r="B59" i="21"/>
  <c r="F59" i="21"/>
  <c r="F193" i="94"/>
  <c r="F997" i="94"/>
  <c r="O13" i="22"/>
  <c r="D11" i="95"/>
  <c r="F11" i="95"/>
  <c r="S68" i="22"/>
  <c r="F845" i="94"/>
  <c r="D15" i="21"/>
  <c r="I819" i="94"/>
  <c r="I1060" i="94"/>
  <c r="B48" i="16"/>
  <c r="C48" i="16"/>
  <c r="F54" i="65"/>
  <c r="X41" i="17"/>
  <c r="G167" i="94"/>
  <c r="G995" i="94" s="1"/>
  <c r="S68" i="17"/>
  <c r="S74" i="17"/>
  <c r="S78" i="17"/>
  <c r="E9" i="68"/>
  <c r="D10" i="95"/>
  <c r="F10" i="95"/>
  <c r="F70" i="65"/>
  <c r="B64" i="16"/>
  <c r="F64" i="16"/>
  <c r="M810" i="94"/>
  <c r="U77" i="17"/>
  <c r="L44" i="17"/>
  <c r="L407" i="94"/>
  <c r="J12" i="100"/>
  <c r="F18" i="65"/>
  <c r="M158" i="94"/>
  <c r="G19" i="97"/>
  <c r="Q22" i="17"/>
  <c r="F40" i="65"/>
  <c r="F115" i="94"/>
  <c r="F991" i="94"/>
  <c r="F23" i="65"/>
  <c r="G23" i="65" s="1"/>
  <c r="T12" i="100"/>
  <c r="F29" i="65"/>
  <c r="J337" i="94"/>
  <c r="J1009" i="94" s="1"/>
  <c r="J1014" i="94" s="1"/>
  <c r="M62" i="17"/>
  <c r="M545" i="94"/>
  <c r="B45" i="16"/>
  <c r="E74" i="16"/>
  <c r="F51" i="65"/>
  <c r="AA12" i="100"/>
  <c r="AA24" i="100"/>
  <c r="AA45" i="100" s="1"/>
  <c r="M380" i="94"/>
  <c r="T19" i="97"/>
  <c r="M650" i="94"/>
  <c r="D44" i="17"/>
  <c r="D407" i="94"/>
  <c r="D112" i="63"/>
  <c r="F42" i="16"/>
  <c r="K42" i="16"/>
  <c r="L42" i="16"/>
  <c r="G804" i="94"/>
  <c r="D53" i="65"/>
  <c r="G22" i="100"/>
  <c r="M121" i="94"/>
  <c r="B60" i="2"/>
  <c r="D66" i="65"/>
  <c r="M785" i="94"/>
  <c r="L111" i="92"/>
  <c r="L123" i="92"/>
  <c r="L107" i="92"/>
  <c r="F16" i="81"/>
  <c r="E22" i="63"/>
  <c r="H461" i="94"/>
  <c r="H1025" i="94"/>
  <c r="F620" i="94"/>
  <c r="F1041" i="94" s="1"/>
  <c r="F1050" i="94" s="1"/>
  <c r="B26" i="2"/>
  <c r="I51" i="63"/>
  <c r="M813" i="94"/>
  <c r="D70" i="65"/>
  <c r="B64" i="2"/>
  <c r="F64" i="2"/>
  <c r="D13" i="65"/>
  <c r="B13" i="2"/>
  <c r="B15" i="2"/>
  <c r="M627" i="94"/>
  <c r="B46" i="2"/>
  <c r="D52" i="65"/>
  <c r="M440" i="94"/>
  <c r="Y70" i="14"/>
  <c r="B47" i="2"/>
  <c r="F47" i="2"/>
  <c r="K47" i="2"/>
  <c r="M47" i="2"/>
  <c r="P11" i="97"/>
  <c r="M331" i="94"/>
  <c r="S74" i="14"/>
  <c r="S78" i="14"/>
  <c r="E8" i="68"/>
  <c r="D108" i="1"/>
  <c r="K111" i="63"/>
  <c r="D38" i="2"/>
  <c r="E72" i="2"/>
  <c r="M68" i="94"/>
  <c r="G620" i="94"/>
  <c r="G1041" i="94"/>
  <c r="M425" i="94"/>
  <c r="D29" i="65"/>
  <c r="B23" i="2"/>
  <c r="L476" i="94"/>
  <c r="L1028" i="94" s="1"/>
  <c r="O13" i="14"/>
  <c r="H489" i="94"/>
  <c r="H1029" i="94"/>
  <c r="I102" i="94"/>
  <c r="H659" i="94"/>
  <c r="H1044" i="94" s="1"/>
  <c r="M653" i="94"/>
  <c r="D14" i="65"/>
  <c r="M29" i="94"/>
  <c r="E75" i="2"/>
  <c r="Y67" i="14"/>
  <c r="B44" i="2"/>
  <c r="M601" i="94"/>
  <c r="D50" i="65"/>
  <c r="Z14" i="100"/>
  <c r="M366" i="94"/>
  <c r="S12" i="97"/>
  <c r="M452" i="94"/>
  <c r="F35" i="65"/>
  <c r="B29" i="16"/>
  <c r="E73" i="16"/>
  <c r="J16" i="100"/>
  <c r="N18" i="65"/>
  <c r="Q22" i="37"/>
  <c r="M628" i="94"/>
  <c r="P52" i="65"/>
  <c r="B46" i="41"/>
  <c r="C46" i="41"/>
  <c r="Y69" i="42"/>
  <c r="L12" i="100"/>
  <c r="I19" i="97"/>
  <c r="X37" i="17"/>
  <c r="M184" i="94"/>
  <c r="X46" i="17"/>
  <c r="M922" i="94"/>
  <c r="T85" i="65"/>
  <c r="L581" i="94"/>
  <c r="L1038" i="94" s="1"/>
  <c r="J21" i="97"/>
  <c r="G899" i="94"/>
  <c r="G1068" i="94" s="1"/>
  <c r="D180" i="94"/>
  <c r="D996" i="94"/>
  <c r="F13" i="51"/>
  <c r="J13" i="51" s="1"/>
  <c r="M754" i="94"/>
  <c r="H64" i="65"/>
  <c r="B58" i="21"/>
  <c r="F58" i="21"/>
  <c r="M263" i="94"/>
  <c r="R12" i="100"/>
  <c r="N85" i="65"/>
  <c r="M921" i="94"/>
  <c r="E45" i="26"/>
  <c r="F45" i="26"/>
  <c r="D113" i="25"/>
  <c r="D106" i="50"/>
  <c r="F47" i="51"/>
  <c r="K47" i="51"/>
  <c r="M47" i="51" s="1"/>
  <c r="I119" i="63"/>
  <c r="E249" i="94"/>
  <c r="M31" i="27"/>
  <c r="L44" i="84"/>
  <c r="G15" i="97"/>
  <c r="M268" i="94"/>
  <c r="R16" i="100"/>
  <c r="E476" i="94"/>
  <c r="E1028" i="94" s="1"/>
  <c r="M84" i="47"/>
  <c r="M803" i="94"/>
  <c r="E86" i="94"/>
  <c r="M279" i="94"/>
  <c r="S11" i="100"/>
  <c r="M264" i="94"/>
  <c r="R15" i="100"/>
  <c r="M305" i="94"/>
  <c r="U11" i="100"/>
  <c r="D108" i="40"/>
  <c r="G114" i="63"/>
  <c r="M280" i="94"/>
  <c r="S17" i="100"/>
  <c r="Z82" i="65"/>
  <c r="M879" i="94"/>
  <c r="E44" i="84"/>
  <c r="E400" i="94"/>
  <c r="H44" i="92"/>
  <c r="H409" i="94"/>
  <c r="F11" i="65"/>
  <c r="M781" i="94"/>
  <c r="J66" i="65"/>
  <c r="B60" i="26"/>
  <c r="F60" i="26"/>
  <c r="N12" i="80"/>
  <c r="F38" i="65"/>
  <c r="P12" i="97"/>
  <c r="W14" i="100"/>
  <c r="M327" i="94"/>
  <c r="X45" i="27"/>
  <c r="X34" i="27"/>
  <c r="D236" i="94"/>
  <c r="F43" i="65"/>
  <c r="F41" i="65"/>
  <c r="T84" i="65"/>
  <c r="M909" i="94"/>
  <c r="M284" i="94"/>
  <c r="S18" i="100"/>
  <c r="K16" i="100"/>
  <c r="H15" i="97"/>
  <c r="B50" i="36"/>
  <c r="N56" i="65"/>
  <c r="M681" i="94"/>
  <c r="M89" i="14"/>
  <c r="M839" i="94"/>
  <c r="S20" i="100"/>
  <c r="M283" i="94"/>
  <c r="D23" i="65"/>
  <c r="E23" i="65" s="1"/>
  <c r="E24" i="65" s="1"/>
  <c r="E119" i="63"/>
  <c r="F43" i="51"/>
  <c r="K43" i="51" s="1"/>
  <c r="L43" i="51" s="1"/>
  <c r="D103" i="50"/>
  <c r="E800" i="94"/>
  <c r="M84" i="37"/>
  <c r="M800" i="94"/>
  <c r="L16" i="100"/>
  <c r="I15" i="97"/>
  <c r="M189" i="94"/>
  <c r="F42" i="65"/>
  <c r="M623" i="94"/>
  <c r="J52" i="65"/>
  <c r="B46" i="26"/>
  <c r="Y69" i="27"/>
  <c r="E73" i="2"/>
  <c r="B29" i="2"/>
  <c r="Y71" i="62"/>
  <c r="M656" i="94"/>
  <c r="T54" i="65"/>
  <c r="B48" i="51"/>
  <c r="N14" i="100"/>
  <c r="M209" i="94"/>
  <c r="K12" i="97"/>
  <c r="X28" i="27"/>
  <c r="M18" i="27"/>
  <c r="J167" i="94"/>
  <c r="J995" i="94" s="1"/>
  <c r="E541" i="94"/>
  <c r="E1033" i="94" s="1"/>
  <c r="M77" i="87"/>
  <c r="M725" i="94"/>
  <c r="F1030" i="94"/>
  <c r="I44" i="92"/>
  <c r="I409" i="94"/>
  <c r="F167" i="94"/>
  <c r="F995" i="94"/>
  <c r="M270" i="94"/>
  <c r="R20" i="100"/>
  <c r="M595" i="94"/>
  <c r="D515" i="94"/>
  <c r="D1031" i="94" s="1"/>
  <c r="L431" i="94"/>
  <c r="L1019" i="94"/>
  <c r="L489" i="94"/>
  <c r="L1029" i="94" s="1"/>
  <c r="F985" i="94"/>
  <c r="M281" i="94"/>
  <c r="S16" i="100"/>
  <c r="M303" i="94"/>
  <c r="U15" i="100"/>
  <c r="E633" i="94"/>
  <c r="E1042" i="94"/>
  <c r="F285" i="94"/>
  <c r="F1005" i="94" s="1"/>
  <c r="L74" i="94"/>
  <c r="L986" i="94"/>
  <c r="I672" i="94"/>
  <c r="I1045" i="94" s="1"/>
  <c r="D392" i="94"/>
  <c r="I167" i="94"/>
  <c r="I995" i="94" s="1"/>
  <c r="U77" i="47"/>
  <c r="L778" i="94"/>
  <c r="L1055" i="94"/>
  <c r="U77" i="37"/>
  <c r="E350" i="94"/>
  <c r="E1010" i="94"/>
  <c r="X34" i="37"/>
  <c r="D752" i="94"/>
  <c r="D1053" i="94" s="1"/>
  <c r="E528" i="94"/>
  <c r="E1032" i="94"/>
  <c r="K35" i="94"/>
  <c r="K983" i="94" s="1"/>
  <c r="X26" i="17"/>
  <c r="AB12" i="100"/>
  <c r="D10" i="65"/>
  <c r="F49" i="41"/>
  <c r="K49" i="41"/>
  <c r="N49" i="41"/>
  <c r="R28" i="27"/>
  <c r="F272" i="94"/>
  <c r="F1004" i="94"/>
  <c r="I21" i="100"/>
  <c r="M142" i="94"/>
  <c r="B29" i="41"/>
  <c r="P35" i="65"/>
  <c r="X12" i="100"/>
  <c r="Q19" i="97"/>
  <c r="M341" i="94"/>
  <c r="V16" i="100"/>
  <c r="O15" i="97"/>
  <c r="N22" i="65"/>
  <c r="Q26" i="37"/>
  <c r="M320" i="94"/>
  <c r="D18" i="26"/>
  <c r="D20" i="26"/>
  <c r="D39" i="26"/>
  <c r="F235" i="94"/>
  <c r="N64" i="65"/>
  <c r="B58" i="36"/>
  <c r="F58" i="36"/>
  <c r="M761" i="94"/>
  <c r="H393" i="94"/>
  <c r="H44" i="17"/>
  <c r="H407" i="94"/>
  <c r="K12" i="100"/>
  <c r="X45" i="17"/>
  <c r="L57" i="65"/>
  <c r="B51" i="31"/>
  <c r="X15" i="100"/>
  <c r="X24" i="100"/>
  <c r="X45" i="100" s="1"/>
  <c r="M342" i="94"/>
  <c r="Q18" i="97"/>
  <c r="H53" i="65"/>
  <c r="B47" i="21"/>
  <c r="F39" i="65"/>
  <c r="U12" i="100"/>
  <c r="M302" i="94"/>
  <c r="X42" i="17"/>
  <c r="M531" i="94"/>
  <c r="B37" i="26"/>
  <c r="J43" i="65"/>
  <c r="M437" i="94"/>
  <c r="B26" i="16"/>
  <c r="F32" i="65"/>
  <c r="E72" i="16"/>
  <c r="M772" i="94"/>
  <c r="B59" i="2"/>
  <c r="F59" i="2"/>
  <c r="D65" i="65"/>
  <c r="M473" i="94"/>
  <c r="M476" i="94" s="1"/>
  <c r="B44" i="57" s="1"/>
  <c r="F44" i="57" s="1"/>
  <c r="T38" i="65"/>
  <c r="B32" i="51"/>
  <c r="L111" i="87"/>
  <c r="L123" i="87"/>
  <c r="L107" i="87"/>
  <c r="F15" i="81"/>
  <c r="M163" i="94"/>
  <c r="M89" i="27"/>
  <c r="M835" i="94"/>
  <c r="M62" i="27"/>
  <c r="M544" i="94"/>
  <c r="M585" i="94"/>
  <c r="B43" i="16"/>
  <c r="F49" i="65"/>
  <c r="Y66" i="17"/>
  <c r="R24" i="47"/>
  <c r="O18" i="100"/>
  <c r="M518" i="94"/>
  <c r="B36" i="26"/>
  <c r="J42" i="65"/>
  <c r="Y76" i="37"/>
  <c r="N83" i="65"/>
  <c r="C13" i="16"/>
  <c r="F13" i="65"/>
  <c r="M421" i="94"/>
  <c r="B23" i="26"/>
  <c r="J29" i="65"/>
  <c r="U14" i="100"/>
  <c r="M301" i="94"/>
  <c r="L324" i="94"/>
  <c r="L1008" i="94"/>
  <c r="M745" i="94"/>
  <c r="U77" i="84"/>
  <c r="R28" i="47"/>
  <c r="Z18" i="100"/>
  <c r="D685" i="94"/>
  <c r="D1046" i="94" s="1"/>
  <c r="O21" i="100"/>
  <c r="M220" i="94"/>
  <c r="L22" i="97"/>
  <c r="B49" i="86"/>
  <c r="X55" i="65"/>
  <c r="M660" i="94"/>
  <c r="Y72" i="87"/>
  <c r="M496" i="94"/>
  <c r="B34" i="2"/>
  <c r="D40" i="65"/>
  <c r="M783" i="94"/>
  <c r="B60" i="31"/>
  <c r="F60" i="31"/>
  <c r="N18" i="80"/>
  <c r="L66" i="65"/>
  <c r="F10" i="2"/>
  <c r="D22" i="63"/>
  <c r="D18" i="36"/>
  <c r="D20" i="36"/>
  <c r="F241" i="94"/>
  <c r="R54" i="65"/>
  <c r="B48" i="46"/>
  <c r="C48" i="46"/>
  <c r="N12" i="100"/>
  <c r="K19" i="97"/>
  <c r="M210" i="94"/>
  <c r="M668" i="94"/>
  <c r="B49" i="36"/>
  <c r="Y72" i="37"/>
  <c r="N55" i="65"/>
  <c r="G83" i="63"/>
  <c r="F35" i="26"/>
  <c r="D63" i="25"/>
  <c r="D461" i="94"/>
  <c r="D1025" i="94" s="1"/>
  <c r="G154" i="94"/>
  <c r="G994" i="94" s="1"/>
  <c r="I337" i="94"/>
  <c r="I1009" i="94" s="1"/>
  <c r="D711" i="94"/>
  <c r="D1048" i="94" s="1"/>
  <c r="R24" i="17"/>
  <c r="R30" i="17"/>
  <c r="R19" i="65"/>
  <c r="R20" i="65" s="1"/>
  <c r="D22" i="94"/>
  <c r="D982" i="94"/>
  <c r="M658" i="94"/>
  <c r="M181" i="94"/>
  <c r="L21" i="100"/>
  <c r="I22" i="97"/>
  <c r="B26" i="91"/>
  <c r="M439" i="94"/>
  <c r="E72" i="91"/>
  <c r="Z32" i="65"/>
  <c r="B58" i="51"/>
  <c r="F58" i="51"/>
  <c r="M762" i="94"/>
  <c r="T64" i="65"/>
  <c r="E236" i="94"/>
  <c r="E44" i="17"/>
  <c r="K20" i="97"/>
  <c r="N20" i="100"/>
  <c r="M217" i="94"/>
  <c r="D59" i="65"/>
  <c r="M718" i="94"/>
  <c r="B53" i="2"/>
  <c r="M638" i="94"/>
  <c r="L53" i="65"/>
  <c r="B47" i="31"/>
  <c r="Y70" i="32"/>
  <c r="M755" i="94"/>
  <c r="B58" i="26"/>
  <c r="F58" i="26"/>
  <c r="J64" i="65"/>
  <c r="G13" i="100"/>
  <c r="M117" i="94"/>
  <c r="K845" i="94"/>
  <c r="E35" i="94"/>
  <c r="E983" i="94" s="1"/>
  <c r="F298" i="94"/>
  <c r="F1006" i="94" s="1"/>
  <c r="J791" i="94"/>
  <c r="J1056" i="94" s="1"/>
  <c r="J298" i="94"/>
  <c r="J1006" i="94"/>
  <c r="D38" i="83"/>
  <c r="C13" i="51"/>
  <c r="V14" i="65"/>
  <c r="W14" i="65"/>
  <c r="M758" i="94"/>
  <c r="B44" i="83"/>
  <c r="E44" i="83"/>
  <c r="M29" i="87"/>
  <c r="P21" i="100"/>
  <c r="E324" i="94"/>
  <c r="E1008" i="94" s="1"/>
  <c r="Y66" i="92"/>
  <c r="D324" i="94"/>
  <c r="D1008" i="94" s="1"/>
  <c r="R24" i="42"/>
  <c r="L17" i="100"/>
  <c r="I489" i="94"/>
  <c r="I1029" i="94" s="1"/>
  <c r="L646" i="94"/>
  <c r="L1043" i="94" s="1"/>
  <c r="F19" i="65"/>
  <c r="M277" i="94"/>
  <c r="S15" i="100"/>
  <c r="G594" i="94"/>
  <c r="G1039" i="94"/>
  <c r="F791" i="94"/>
  <c r="D72" i="57" s="1"/>
  <c r="X33" i="27"/>
  <c r="D607" i="94"/>
  <c r="D1040" i="94" s="1"/>
  <c r="G61" i="94"/>
  <c r="G985" i="94"/>
  <c r="F398" i="94"/>
  <c r="I44" i="42"/>
  <c r="I411" i="94"/>
  <c r="G554" i="94"/>
  <c r="M290" i="94"/>
  <c r="T15" i="100"/>
  <c r="I476" i="94"/>
  <c r="I1028" i="94" s="1"/>
  <c r="M84" i="42"/>
  <c r="M799" i="94"/>
  <c r="G63" i="47"/>
  <c r="G91" i="47"/>
  <c r="H167" i="94"/>
  <c r="H995" i="94" s="1"/>
  <c r="G363" i="94"/>
  <c r="G1011" i="94"/>
  <c r="P76" i="27"/>
  <c r="I8" i="81"/>
  <c r="E832" i="94"/>
  <c r="E1061" i="94"/>
  <c r="Q22" i="47"/>
  <c r="Q30" i="47"/>
  <c r="D393" i="94"/>
  <c r="M344" i="94"/>
  <c r="M455" i="94"/>
  <c r="M84" i="14"/>
  <c r="M798" i="94"/>
  <c r="X29" i="14"/>
  <c r="D39" i="36"/>
  <c r="L118" i="63"/>
  <c r="X37" i="27"/>
  <c r="X85" i="65"/>
  <c r="M913" i="94"/>
  <c r="F11" i="83"/>
  <c r="J11" i="83"/>
  <c r="D54" i="82"/>
  <c r="M262" i="94"/>
  <c r="R14" i="100"/>
  <c r="C14" i="16"/>
  <c r="F14" i="65"/>
  <c r="I401" i="94"/>
  <c r="I44" i="47"/>
  <c r="K236" i="94"/>
  <c r="K44" i="17"/>
  <c r="K407" i="94"/>
  <c r="O13" i="17"/>
  <c r="M66" i="94"/>
  <c r="L14" i="65"/>
  <c r="B14" i="31"/>
  <c r="L14" i="100"/>
  <c r="R24" i="27"/>
  <c r="M183" i="94"/>
  <c r="I12" i="97"/>
  <c r="M707" i="94"/>
  <c r="N58" i="65"/>
  <c r="B52" i="36"/>
  <c r="B10" i="31"/>
  <c r="M14" i="94"/>
  <c r="L10" i="65"/>
  <c r="M31" i="94"/>
  <c r="B11" i="36"/>
  <c r="N11" i="65"/>
  <c r="M902" i="94"/>
  <c r="J84" i="65"/>
  <c r="D18" i="46"/>
  <c r="F244" i="94"/>
  <c r="M773" i="94"/>
  <c r="B59" i="41"/>
  <c r="F59" i="41"/>
  <c r="F61" i="41"/>
  <c r="P65" i="65"/>
  <c r="D81" i="65"/>
  <c r="M867" i="94"/>
  <c r="X75" i="14"/>
  <c r="D26" i="68"/>
  <c r="M575" i="94"/>
  <c r="D48" i="65"/>
  <c r="B42" i="2"/>
  <c r="Y65" i="14"/>
  <c r="I236" i="94"/>
  <c r="I44" i="17"/>
  <c r="I407" i="94"/>
  <c r="P76" i="14"/>
  <c r="I5" i="81"/>
  <c r="V17" i="100"/>
  <c r="Q26" i="42"/>
  <c r="M715" i="94"/>
  <c r="F59" i="65"/>
  <c r="B53" i="16"/>
  <c r="M748" i="94"/>
  <c r="N63" i="65"/>
  <c r="B57" i="36"/>
  <c r="M291" i="94"/>
  <c r="T22" i="100"/>
  <c r="M286" i="94"/>
  <c r="T21" i="100"/>
  <c r="K115" i="94"/>
  <c r="K991" i="94"/>
  <c r="L554" i="94"/>
  <c r="D298" i="94"/>
  <c r="D1006" i="94" s="1"/>
  <c r="R28" i="14"/>
  <c r="M16" i="94"/>
  <c r="X42" i="14"/>
  <c r="L112" i="63"/>
  <c r="M830" i="94"/>
  <c r="B65" i="83"/>
  <c r="F65" i="83"/>
  <c r="V71" i="65"/>
  <c r="V72" i="65"/>
  <c r="Y67" i="92"/>
  <c r="Z50" i="65"/>
  <c r="O12" i="100"/>
  <c r="M223" i="94"/>
  <c r="L19" i="97"/>
  <c r="M63" i="94"/>
  <c r="B14" i="21"/>
  <c r="C14" i="21"/>
  <c r="H14" i="65"/>
  <c r="M50" i="94"/>
  <c r="B13" i="21"/>
  <c r="H13" i="65"/>
  <c r="Y14" i="100"/>
  <c r="M353" i="94"/>
  <c r="R12" i="97"/>
  <c r="Y71" i="14"/>
  <c r="B48" i="2"/>
  <c r="M719" i="94"/>
  <c r="B53" i="41"/>
  <c r="P59" i="65"/>
  <c r="N115" i="63"/>
  <c r="D111" i="30"/>
  <c r="F52" i="31"/>
  <c r="K52" i="31"/>
  <c r="O52" i="31"/>
  <c r="M571" i="94"/>
  <c r="D29" i="68"/>
  <c r="B42" i="26"/>
  <c r="J48" i="65"/>
  <c r="Y65" i="27"/>
  <c r="K819" i="94"/>
  <c r="K1060" i="94"/>
  <c r="G765" i="94"/>
  <c r="G1054" i="94" s="1"/>
  <c r="X28" i="87"/>
  <c r="Z21" i="100"/>
  <c r="E594" i="94"/>
  <c r="E1039" i="94" s="1"/>
  <c r="F259" i="94"/>
  <c r="X77" i="87"/>
  <c r="M273" i="94"/>
  <c r="S21" i="100"/>
  <c r="X41" i="65"/>
  <c r="M600" i="94"/>
  <c r="X28" i="92"/>
  <c r="X26" i="87"/>
  <c r="X27" i="87"/>
  <c r="K528" i="94"/>
  <c r="K1032" i="94" s="1"/>
  <c r="B58" i="91"/>
  <c r="M605" i="94"/>
  <c r="F672" i="94"/>
  <c r="F1045" i="94" s="1"/>
  <c r="M587" i="94"/>
  <c r="L111" i="47"/>
  <c r="L123" i="47"/>
  <c r="L107" i="47"/>
  <c r="F12" i="81"/>
  <c r="E193" i="94"/>
  <c r="E997" i="94"/>
  <c r="E74" i="94"/>
  <c r="E986" i="94" s="1"/>
  <c r="D724" i="94"/>
  <c r="D1049" i="94"/>
  <c r="G446" i="94"/>
  <c r="G1022" i="94" s="1"/>
  <c r="E886" i="94"/>
  <c r="E1067" i="94"/>
  <c r="E461" i="94"/>
  <c r="E1025" i="94" s="1"/>
  <c r="I515" i="94"/>
  <c r="I1031" i="94"/>
  <c r="M105" i="94"/>
  <c r="M300" i="94"/>
  <c r="U13" i="100"/>
  <c r="F44" i="37"/>
  <c r="F412" i="94"/>
  <c r="Y76" i="22"/>
  <c r="I461" i="94"/>
  <c r="I1025" i="94"/>
  <c r="E311" i="94"/>
  <c r="E1007" i="94" s="1"/>
  <c r="F873" i="94"/>
  <c r="F1066" i="94"/>
  <c r="U77" i="32"/>
  <c r="K698" i="94"/>
  <c r="K1047" i="94"/>
  <c r="R18" i="65"/>
  <c r="H193" i="94"/>
  <c r="H997" i="94" s="1"/>
  <c r="Q11" i="97"/>
  <c r="F63" i="27"/>
  <c r="F91" i="27"/>
  <c r="D35" i="65"/>
  <c r="H311" i="94"/>
  <c r="H1007" i="94" s="1"/>
  <c r="U77" i="14"/>
  <c r="Q12" i="97"/>
  <c r="Z70" i="65"/>
  <c r="M812" i="94"/>
  <c r="B64" i="91"/>
  <c r="F64" i="91"/>
  <c r="S18" i="97"/>
  <c r="Z15" i="100"/>
  <c r="M368" i="94"/>
  <c r="M917" i="94"/>
  <c r="L85" i="65"/>
  <c r="M451" i="94"/>
  <c r="B29" i="26"/>
  <c r="J35" i="65"/>
  <c r="E73" i="26"/>
  <c r="Z56" i="65"/>
  <c r="M678" i="94"/>
  <c r="M826" i="94"/>
  <c r="B65" i="2"/>
  <c r="D71" i="65"/>
  <c r="J14" i="100"/>
  <c r="G12" i="97"/>
  <c r="Q22" i="27"/>
  <c r="M157" i="94"/>
  <c r="J18" i="65"/>
  <c r="H55" i="65"/>
  <c r="B49" i="21"/>
  <c r="Y73" i="32"/>
  <c r="L56" i="65"/>
  <c r="B50" i="31"/>
  <c r="M677" i="94"/>
  <c r="M357" i="94"/>
  <c r="Y11" i="100"/>
  <c r="R11" i="97"/>
  <c r="D19" i="2"/>
  <c r="F396" i="94"/>
  <c r="B52" i="2"/>
  <c r="M705" i="94"/>
  <c r="D58" i="65"/>
  <c r="M470" i="94"/>
  <c r="B32" i="2"/>
  <c r="D38" i="65"/>
  <c r="M746" i="94"/>
  <c r="D63" i="65"/>
  <c r="B57" i="2"/>
  <c r="G235" i="94"/>
  <c r="G44" i="27"/>
  <c r="M743" i="94"/>
  <c r="B57" i="16"/>
  <c r="F57" i="16"/>
  <c r="F63" i="65"/>
  <c r="L18" i="100"/>
  <c r="X46" i="47"/>
  <c r="M192" i="94"/>
  <c r="I14" i="97"/>
  <c r="D53" i="40"/>
  <c r="D28" i="63"/>
  <c r="F10" i="41"/>
  <c r="M492" i="94"/>
  <c r="B34" i="26"/>
  <c r="J40" i="65"/>
  <c r="W20" i="100"/>
  <c r="M335" i="94"/>
  <c r="P20" i="97"/>
  <c r="M308" i="94"/>
  <c r="U19" i="100"/>
  <c r="S14" i="100"/>
  <c r="M275" i="94"/>
  <c r="V12" i="100"/>
  <c r="F22" i="65"/>
  <c r="M315" i="94"/>
  <c r="O19" i="97"/>
  <c r="Q26" i="17"/>
  <c r="O116" i="63"/>
  <c r="D112" i="35"/>
  <c r="F53" i="36"/>
  <c r="K53" i="36"/>
  <c r="O53" i="36"/>
  <c r="X36" i="27"/>
  <c r="K285" i="94"/>
  <c r="K1005" i="94" s="1"/>
  <c r="K1003" i="94" s="1"/>
  <c r="M309" i="94"/>
  <c r="U20" i="100"/>
  <c r="I61" i="94"/>
  <c r="I985" i="94" s="1"/>
  <c r="I987" i="94" s="1"/>
  <c r="M261" i="94"/>
  <c r="R13" i="100"/>
  <c r="M287" i="94"/>
  <c r="T13" i="100"/>
  <c r="E206" i="94"/>
  <c r="E998" i="94" s="1"/>
  <c r="M292" i="94"/>
  <c r="T11" i="100"/>
  <c r="R21" i="100"/>
  <c r="M260" i="94"/>
  <c r="K234" i="94"/>
  <c r="K44" i="22"/>
  <c r="K405" i="94"/>
  <c r="E392" i="94"/>
  <c r="E44" i="27"/>
  <c r="E406" i="94"/>
  <c r="F17" i="100"/>
  <c r="M110" i="94"/>
  <c r="Y74" i="14"/>
  <c r="M692" i="94"/>
  <c r="D74" i="2"/>
  <c r="B51" i="2"/>
  <c r="D57" i="65"/>
  <c r="M144" i="94"/>
  <c r="I14" i="100"/>
  <c r="X42" i="27"/>
  <c r="X29" i="27"/>
  <c r="X19" i="65"/>
  <c r="X20" i="65" s="1"/>
  <c r="M265" i="94"/>
  <c r="R22" i="100"/>
  <c r="K363" i="94"/>
  <c r="K1011" i="94"/>
  <c r="D765" i="94"/>
  <c r="D1054" i="94" s="1"/>
  <c r="R24" i="87"/>
  <c r="H35" i="94"/>
  <c r="H983" i="94" s="1"/>
  <c r="H987" i="94" s="1"/>
  <c r="M274" i="94"/>
  <c r="S13" i="100"/>
  <c r="H44" i="47"/>
  <c r="H415" i="94"/>
  <c r="K737" i="94"/>
  <c r="F737" i="94"/>
  <c r="X45" i="37"/>
  <c r="E22" i="94"/>
  <c r="E982" i="94" s="1"/>
  <c r="K44" i="27"/>
  <c r="K406" i="94"/>
  <c r="M42" i="14"/>
  <c r="AB11" i="100"/>
  <c r="F44" i="17"/>
  <c r="D20" i="16"/>
  <c r="D70" i="57"/>
  <c r="F1054" i="94"/>
  <c r="M84" i="62"/>
  <c r="M801" i="94" s="1"/>
  <c r="M804" i="94" s="1"/>
  <c r="H235" i="94"/>
  <c r="H44" i="27"/>
  <c r="H406" i="94"/>
  <c r="M702" i="94"/>
  <c r="B52" i="16"/>
  <c r="C52" i="16"/>
  <c r="F58" i="65"/>
  <c r="M759" i="94"/>
  <c r="B58" i="2"/>
  <c r="F58" i="2"/>
  <c r="D64" i="65"/>
  <c r="D109" i="45"/>
  <c r="F50" i="46"/>
  <c r="K50" i="46"/>
  <c r="M50" i="46"/>
  <c r="F778" i="94"/>
  <c r="D71" i="57" s="1"/>
  <c r="G337" i="94"/>
  <c r="G1009" i="94"/>
  <c r="M212" i="94"/>
  <c r="G431" i="94"/>
  <c r="G1019" i="94" s="1"/>
  <c r="I541" i="94"/>
  <c r="I1033" i="94" s="1"/>
  <c r="M304" i="94"/>
  <c r="U22" i="100"/>
  <c r="J698" i="94"/>
  <c r="J1047" i="94" s="1"/>
  <c r="X25" i="92"/>
  <c r="X35" i="65"/>
  <c r="X41" i="87"/>
  <c r="G528" i="94"/>
  <c r="G1032" i="94" s="1"/>
  <c r="V50" i="65"/>
  <c r="D20" i="91"/>
  <c r="M296" i="94"/>
  <c r="T20" i="100"/>
  <c r="D646" i="94"/>
  <c r="D1043" i="94"/>
  <c r="E646" i="94"/>
  <c r="E1043" i="94" s="1"/>
  <c r="E912" i="94"/>
  <c r="E1069" i="94"/>
  <c r="D886" i="94"/>
  <c r="D1067" i="94"/>
  <c r="K206" i="94"/>
  <c r="K998" i="94"/>
  <c r="F711" i="94"/>
  <c r="F1048" i="94" s="1"/>
  <c r="M888" i="94"/>
  <c r="H180" i="94"/>
  <c r="H996" i="94" s="1"/>
  <c r="L804" i="94"/>
  <c r="G102" i="94"/>
  <c r="M166" i="94"/>
  <c r="G502" i="94"/>
  <c r="G1030" i="94" s="1"/>
  <c r="M62" i="14"/>
  <c r="M548" i="94"/>
  <c r="M340" i="94"/>
  <c r="D53" i="1"/>
  <c r="V83" i="65"/>
  <c r="Y76" i="84"/>
  <c r="M897" i="94"/>
  <c r="H85" i="94"/>
  <c r="Y70" i="87"/>
  <c r="M634" i="94"/>
  <c r="B47" i="86"/>
  <c r="X53" i="65"/>
  <c r="M777" i="94"/>
  <c r="B59" i="46"/>
  <c r="R65" i="65"/>
  <c r="J44" i="17"/>
  <c r="J407" i="94"/>
  <c r="J236" i="94"/>
  <c r="G393" i="94"/>
  <c r="G44" i="17"/>
  <c r="K18" i="100"/>
  <c r="X34" i="47"/>
  <c r="S68" i="32"/>
  <c r="S74" i="32"/>
  <c r="S78" i="32"/>
  <c r="E12" i="68"/>
  <c r="D13" i="95"/>
  <c r="F13" i="95"/>
  <c r="M131" i="94"/>
  <c r="H14" i="100"/>
  <c r="H24" i="100"/>
  <c r="X41" i="27"/>
  <c r="W12" i="100"/>
  <c r="P19" i="97"/>
  <c r="L13" i="100"/>
  <c r="M182" i="94"/>
  <c r="B57" i="51"/>
  <c r="T63" i="65"/>
  <c r="M749" i="94"/>
  <c r="M589" i="94"/>
  <c r="P49" i="65"/>
  <c r="B43" i="41"/>
  <c r="S11" i="97"/>
  <c r="Z11" i="100"/>
  <c r="M370" i="94"/>
  <c r="D250" i="94"/>
  <c r="M31" i="17"/>
  <c r="M662" i="94"/>
  <c r="J55" i="65"/>
  <c r="B49" i="26"/>
  <c r="Y72" i="27"/>
  <c r="J13" i="65"/>
  <c r="M51" i="94"/>
  <c r="B13" i="26"/>
  <c r="Y76" i="62"/>
  <c r="M896" i="94"/>
  <c r="T83" i="65"/>
  <c r="M266" i="94"/>
  <c r="R11" i="100"/>
  <c r="M869" i="94"/>
  <c r="X75" i="37"/>
  <c r="N81" i="65"/>
  <c r="M522" i="94"/>
  <c r="B36" i="2"/>
  <c r="D42" i="65"/>
  <c r="M597" i="94"/>
  <c r="J50" i="65"/>
  <c r="Y67" i="27"/>
  <c r="E75" i="26"/>
  <c r="B44" i="26"/>
  <c r="J32" i="65"/>
  <c r="B26" i="26"/>
  <c r="M674" i="94"/>
  <c r="Y73" i="22"/>
  <c r="B50" i="21"/>
  <c r="H56" i="65"/>
  <c r="M787" i="94"/>
  <c r="N66" i="65"/>
  <c r="B60" i="36"/>
  <c r="F60" i="36"/>
  <c r="N15" i="80"/>
  <c r="Y76" i="14"/>
  <c r="D83" i="65"/>
  <c r="M893" i="94"/>
  <c r="Y73" i="37"/>
  <c r="J35" i="41"/>
  <c r="I1057" i="94"/>
  <c r="G75" i="94"/>
  <c r="L80" i="94"/>
  <c r="M569" i="94"/>
  <c r="B42" i="86"/>
  <c r="X48" i="65"/>
  <c r="Y65" i="87"/>
  <c r="M753" i="94"/>
  <c r="B58" i="86"/>
  <c r="F58" i="86"/>
  <c r="X64" i="65"/>
  <c r="F52" i="86"/>
  <c r="K52" i="86"/>
  <c r="O52" i="86"/>
  <c r="D111" i="85"/>
  <c r="M278" i="94"/>
  <c r="X36" i="92"/>
  <c r="G400" i="94"/>
  <c r="G44" i="84"/>
  <c r="D110" i="82"/>
  <c r="D51" i="83"/>
  <c r="F51" i="83"/>
  <c r="X36" i="37"/>
  <c r="M124" i="94"/>
  <c r="D394" i="94"/>
  <c r="M42" i="32"/>
  <c r="AB15" i="100"/>
  <c r="D44" i="32"/>
  <c r="M143" i="94"/>
  <c r="X29" i="22"/>
  <c r="X42" i="22"/>
  <c r="L44" i="62"/>
  <c r="L399" i="94"/>
  <c r="M73" i="94"/>
  <c r="R14" i="65"/>
  <c r="B14" i="46"/>
  <c r="Q22" i="42"/>
  <c r="G13" i="97"/>
  <c r="M162" i="94"/>
  <c r="P18" i="65"/>
  <c r="M297" i="94"/>
  <c r="X41" i="47"/>
  <c r="M491" i="94"/>
  <c r="B34" i="21"/>
  <c r="H40" i="65"/>
  <c r="M365" i="94"/>
  <c r="S17" i="97"/>
  <c r="K79" i="94"/>
  <c r="M381" i="94"/>
  <c r="T18" i="97"/>
  <c r="D43" i="65"/>
  <c r="M535" i="94"/>
  <c r="B37" i="2"/>
  <c r="D96" i="94"/>
  <c r="M18" i="14"/>
  <c r="D18" i="2"/>
  <c r="F239" i="94"/>
  <c r="F44" i="14"/>
  <c r="I413" i="94"/>
  <c r="I63" i="62"/>
  <c r="F9" i="95"/>
  <c r="L11" i="97"/>
  <c r="M226" i="94"/>
  <c r="H259" i="94"/>
  <c r="J390" i="94"/>
  <c r="J44" i="87"/>
  <c r="J404" i="94"/>
  <c r="V38" i="65"/>
  <c r="B32" i="83"/>
  <c r="M474" i="94"/>
  <c r="B34" i="86"/>
  <c r="X40" i="65"/>
  <c r="M490" i="94"/>
  <c r="X75" i="92"/>
  <c r="Z81" i="65"/>
  <c r="M866" i="94"/>
  <c r="M34" i="94"/>
  <c r="B11" i="46"/>
  <c r="R11" i="65"/>
  <c r="M423" i="94"/>
  <c r="B23" i="31"/>
  <c r="L29" i="65"/>
  <c r="E72" i="21"/>
  <c r="M435" i="94"/>
  <c r="H32" i="65"/>
  <c r="D27" i="103"/>
  <c r="B26" i="21"/>
  <c r="M645" i="94"/>
  <c r="Y70" i="47"/>
  <c r="B47" i="46"/>
  <c r="R53" i="65"/>
  <c r="M358" i="94"/>
  <c r="R13" i="97"/>
  <c r="I391" i="94"/>
  <c r="I44" i="22"/>
  <c r="D61" i="26"/>
  <c r="D258" i="94"/>
  <c r="M31" i="47"/>
  <c r="M654" i="94"/>
  <c r="Y71" i="42"/>
  <c r="P54" i="65"/>
  <c r="B48" i="41"/>
  <c r="E240" i="94"/>
  <c r="M29" i="42"/>
  <c r="P17" i="100"/>
  <c r="E44" i="42"/>
  <c r="E74" i="21"/>
  <c r="Y68" i="22"/>
  <c r="B45" i="21"/>
  <c r="M609" i="94"/>
  <c r="H51" i="65"/>
  <c r="R23" i="65"/>
  <c r="R24" i="65" s="1"/>
  <c r="Y67" i="62"/>
  <c r="M604" i="94"/>
  <c r="E75" i="51"/>
  <c r="T50" i="65"/>
  <c r="B44" i="51"/>
  <c r="M475" i="94"/>
  <c r="B32" i="46"/>
  <c r="R38" i="65"/>
  <c r="M811" i="94"/>
  <c r="L70" i="65"/>
  <c r="B64" i="31"/>
  <c r="L23" i="65"/>
  <c r="M329" i="94"/>
  <c r="P18" i="97"/>
  <c r="R28" i="32"/>
  <c r="M903" i="94"/>
  <c r="F84" i="65"/>
  <c r="B26" i="86"/>
  <c r="X32" i="65"/>
  <c r="E72" i="86"/>
  <c r="M434" i="94"/>
  <c r="S15" i="97"/>
  <c r="M372" i="94"/>
  <c r="F633" i="94"/>
  <c r="G63" i="22"/>
  <c r="G76" i="94"/>
  <c r="M430" i="94"/>
  <c r="B23" i="46"/>
  <c r="R29" i="65"/>
  <c r="G461" i="94"/>
  <c r="G1025" i="94" s="1"/>
  <c r="D594" i="94"/>
  <c r="D1039" i="94" s="1"/>
  <c r="M378" i="94"/>
  <c r="T17" i="97"/>
  <c r="I44" i="14"/>
  <c r="I239" i="94"/>
  <c r="I245" i="94"/>
  <c r="G16" i="97"/>
  <c r="T18" i="65"/>
  <c r="Q22" i="62"/>
  <c r="Q30" i="62" s="1"/>
  <c r="M164" i="94"/>
  <c r="M135" i="94"/>
  <c r="X41" i="14"/>
  <c r="X43" i="14"/>
  <c r="X26" i="14"/>
  <c r="I44" i="32"/>
  <c r="I394" i="94"/>
  <c r="X34" i="32"/>
  <c r="X45" i="32"/>
  <c r="L19" i="65"/>
  <c r="L20" i="65" s="1"/>
  <c r="H18" i="97"/>
  <c r="R24" i="32"/>
  <c r="M172" i="94"/>
  <c r="D431" i="94"/>
  <c r="D1019" i="94" s="1"/>
  <c r="Y72" i="47"/>
  <c r="M671" i="94"/>
  <c r="B49" i="46"/>
  <c r="R55" i="65"/>
  <c r="S74" i="47"/>
  <c r="S78" i="47"/>
  <c r="E15" i="68"/>
  <c r="D15" i="68"/>
  <c r="L15" i="97"/>
  <c r="M228" i="94"/>
  <c r="M824" i="94"/>
  <c r="B65" i="31"/>
  <c r="F65" i="31"/>
  <c r="L71" i="65"/>
  <c r="E75" i="31"/>
  <c r="Y67" i="32"/>
  <c r="B44" i="31"/>
  <c r="L50" i="65"/>
  <c r="M599" i="94"/>
  <c r="M590" i="94"/>
  <c r="Y66" i="37"/>
  <c r="B43" i="36"/>
  <c r="N49" i="65"/>
  <c r="J79" i="94"/>
  <c r="M914" i="94"/>
  <c r="H85" i="65"/>
  <c r="G44" i="42"/>
  <c r="G411" i="94"/>
  <c r="X36" i="14"/>
  <c r="M122" i="94"/>
  <c r="H44" i="14"/>
  <c r="H239" i="94"/>
  <c r="K63" i="27"/>
  <c r="J81" i="94"/>
  <c r="L111" i="27"/>
  <c r="L123" i="27"/>
  <c r="L107" i="27"/>
  <c r="F8" i="81"/>
  <c r="G17" i="98"/>
  <c r="G13" i="80"/>
  <c r="E12" i="63"/>
  <c r="N131" i="63"/>
  <c r="R13" i="99"/>
  <c r="I8" i="64"/>
  <c r="C13" i="57"/>
  <c r="F11" i="73"/>
  <c r="C43" i="41"/>
  <c r="Q6" i="65"/>
  <c r="C11" i="41"/>
  <c r="M356" i="94"/>
  <c r="R21" i="97"/>
  <c r="Z66" i="65"/>
  <c r="M784" i="94"/>
  <c r="B60" i="91"/>
  <c r="F60" i="91"/>
  <c r="N21" i="80"/>
  <c r="M147" i="94"/>
  <c r="X42" i="92"/>
  <c r="X29" i="92"/>
  <c r="X30" i="92"/>
  <c r="I21" i="74"/>
  <c r="X70" i="65"/>
  <c r="B64" i="86"/>
  <c r="M807" i="94"/>
  <c r="K395" i="94"/>
  <c r="K44" i="92"/>
  <c r="B60" i="86"/>
  <c r="F60" i="86"/>
  <c r="N22" i="80"/>
  <c r="M779" i="94"/>
  <c r="X66" i="65"/>
  <c r="F11" i="91"/>
  <c r="J11" i="91"/>
  <c r="D54" i="90"/>
  <c r="E581" i="94"/>
  <c r="E1038" i="94" s="1"/>
  <c r="J75" i="94"/>
  <c r="L20" i="97"/>
  <c r="M230" i="94"/>
  <c r="K61" i="94"/>
  <c r="K985" i="94" s="1"/>
  <c r="D53" i="90"/>
  <c r="F10" i="91"/>
  <c r="J10" i="91"/>
  <c r="J15" i="91" s="1"/>
  <c r="K119" i="71"/>
  <c r="L119" i="71"/>
  <c r="H128" i="71"/>
  <c r="Y70" i="92"/>
  <c r="B47" i="91"/>
  <c r="Z53" i="65"/>
  <c r="M639" i="94"/>
  <c r="M89" i="84"/>
  <c r="M843" i="94"/>
  <c r="D38" i="91"/>
  <c r="H102" i="94"/>
  <c r="X75" i="84"/>
  <c r="V81" i="65"/>
  <c r="M871" i="94"/>
  <c r="B65" i="91"/>
  <c r="Z71" i="65"/>
  <c r="M825" i="94"/>
  <c r="V18" i="65"/>
  <c r="W18" i="65"/>
  <c r="Q22" i="84"/>
  <c r="M165" i="94"/>
  <c r="G20" i="97"/>
  <c r="D56" i="90"/>
  <c r="F13" i="91"/>
  <c r="J13" i="91"/>
  <c r="B36" i="86"/>
  <c r="X42" i="65"/>
  <c r="M516" i="94"/>
  <c r="M31" i="92"/>
  <c r="V52" i="65"/>
  <c r="W52" i="65"/>
  <c r="M631" i="94"/>
  <c r="B46" i="83"/>
  <c r="B49" i="91"/>
  <c r="Z55" i="65"/>
  <c r="Y72" i="92"/>
  <c r="M665" i="94"/>
  <c r="M325" i="94"/>
  <c r="X23" i="65"/>
  <c r="X24" i="65" s="1"/>
  <c r="R28" i="87"/>
  <c r="P22" i="97"/>
  <c r="X34" i="87"/>
  <c r="B14" i="86"/>
  <c r="M62" i="94"/>
  <c r="X14" i="65"/>
  <c r="O20" i="97"/>
  <c r="Q26" i="84"/>
  <c r="V22" i="65"/>
  <c r="W22" i="65"/>
  <c r="M322" i="94"/>
  <c r="F63" i="87"/>
  <c r="M770" i="94"/>
  <c r="B59" i="31"/>
  <c r="F59" i="31"/>
  <c r="L65" i="65"/>
  <c r="M494" i="94"/>
  <c r="L40" i="65"/>
  <c r="B34" i="31"/>
  <c r="H796" i="94"/>
  <c r="H804" i="94"/>
  <c r="M84" i="32"/>
  <c r="M796" i="94"/>
  <c r="L111" i="32"/>
  <c r="L123" i="32"/>
  <c r="L107" i="32"/>
  <c r="F9" i="81"/>
  <c r="J84" i="94"/>
  <c r="J63" i="62"/>
  <c r="D251" i="94"/>
  <c r="M31" i="32"/>
  <c r="M875" i="94"/>
  <c r="H82" i="65"/>
  <c r="M499" i="94"/>
  <c r="M502" i="94" s="1"/>
  <c r="B46" i="57" s="1"/>
  <c r="F46" i="57" s="1"/>
  <c r="T40" i="65"/>
  <c r="B34" i="51"/>
  <c r="M920" i="94"/>
  <c r="P85" i="65"/>
  <c r="M112" i="94"/>
  <c r="X33" i="62"/>
  <c r="M876" i="94"/>
  <c r="J82" i="65"/>
  <c r="M77" i="27"/>
  <c r="M727" i="94"/>
  <c r="D727" i="94"/>
  <c r="L111" i="42"/>
  <c r="L123" i="42"/>
  <c r="L107" i="42"/>
  <c r="F11" i="81"/>
  <c r="J13" i="97"/>
  <c r="X25" i="42"/>
  <c r="M201" i="94"/>
  <c r="D94" i="94"/>
  <c r="M18" i="32"/>
  <c r="M714" i="94"/>
  <c r="B53" i="26"/>
  <c r="J59" i="65"/>
  <c r="R28" i="22"/>
  <c r="H23" i="65"/>
  <c r="I23" i="65" s="1"/>
  <c r="I24" i="65" s="1"/>
  <c r="M326" i="94"/>
  <c r="P17" i="97"/>
  <c r="H734" i="94"/>
  <c r="H737" i="94"/>
  <c r="M77" i="62"/>
  <c r="M734" i="94" s="1"/>
  <c r="M737" i="94" s="1"/>
  <c r="M501" i="94"/>
  <c r="R40" i="65"/>
  <c r="B34" i="46"/>
  <c r="X36" i="47"/>
  <c r="X38" i="47"/>
  <c r="M127" i="94"/>
  <c r="M427" i="94"/>
  <c r="B23" i="36"/>
  <c r="N29" i="65"/>
  <c r="E837" i="94"/>
  <c r="M89" i="32"/>
  <c r="M837" i="94"/>
  <c r="Y65" i="32"/>
  <c r="M573" i="94"/>
  <c r="B42" i="31"/>
  <c r="D30" i="68"/>
  <c r="L48" i="65"/>
  <c r="F446" i="94"/>
  <c r="D733" i="94"/>
  <c r="M77" i="37"/>
  <c r="M733" i="94"/>
  <c r="L594" i="94"/>
  <c r="L1039" i="94" s="1"/>
  <c r="M890" i="94"/>
  <c r="F83" i="65"/>
  <c r="Y76" i="17"/>
  <c r="F408" i="94"/>
  <c r="F63" i="32"/>
  <c r="H17" i="97"/>
  <c r="X34" i="22"/>
  <c r="R24" i="22"/>
  <c r="X45" i="22"/>
  <c r="M169" i="94"/>
  <c r="H19" i="65"/>
  <c r="H20" i="65" s="1"/>
  <c r="M916" i="94"/>
  <c r="F85" i="65"/>
  <c r="M295" i="94"/>
  <c r="X41" i="62"/>
  <c r="X43" i="62" s="1"/>
  <c r="J239" i="94"/>
  <c r="J44" i="14"/>
  <c r="J410" i="94"/>
  <c r="D237" i="94"/>
  <c r="M29" i="32"/>
  <c r="P15" i="100"/>
  <c r="M84" i="22"/>
  <c r="M793" i="94"/>
  <c r="D793" i="94"/>
  <c r="Q17" i="97"/>
  <c r="M339" i="94"/>
  <c r="K76" i="94"/>
  <c r="L83" i="94"/>
  <c r="K93" i="94"/>
  <c r="K102" i="94"/>
  <c r="M18" i="17"/>
  <c r="K411" i="94"/>
  <c r="K63" i="42"/>
  <c r="L81" i="94"/>
  <c r="M25" i="94"/>
  <c r="J11" i="65"/>
  <c r="B11" i="26"/>
  <c r="M780" i="94"/>
  <c r="B60" i="21"/>
  <c r="F60" i="21"/>
  <c r="N17" i="80"/>
  <c r="H66" i="65"/>
  <c r="E74" i="2"/>
  <c r="M614" i="94"/>
  <c r="Y68" i="14"/>
  <c r="D51" i="65"/>
  <c r="B45" i="2"/>
  <c r="M471" i="94"/>
  <c r="B32" i="41"/>
  <c r="P38" i="65"/>
  <c r="F1046" i="94"/>
  <c r="D62" i="57"/>
  <c r="M62" i="37"/>
  <c r="M550" i="94"/>
  <c r="D550" i="94"/>
  <c r="K44" i="14"/>
  <c r="K410" i="94"/>
  <c r="F16" i="73"/>
  <c r="G13" i="98"/>
  <c r="I12" i="64"/>
  <c r="R18" i="99"/>
  <c r="I6" i="65"/>
  <c r="E8" i="63"/>
  <c r="C7" i="57"/>
  <c r="G17" i="80"/>
  <c r="F1038" i="94"/>
  <c r="L44" i="87"/>
  <c r="L390" i="94"/>
  <c r="L819" i="94"/>
  <c r="L1060" i="94"/>
  <c r="L1062" i="94" s="1"/>
  <c r="J804" i="94"/>
  <c r="D390" i="94"/>
  <c r="M42" i="87"/>
  <c r="AB21" i="100"/>
  <c r="D44" i="87"/>
  <c r="F53" i="86"/>
  <c r="K53" i="86"/>
  <c r="O53" i="86"/>
  <c r="D112" i="85"/>
  <c r="F461" i="94"/>
  <c r="M429" i="94"/>
  <c r="V29" i="65"/>
  <c r="B23" i="83"/>
  <c r="M686" i="94"/>
  <c r="Y74" i="87"/>
  <c r="B51" i="86"/>
  <c r="D74" i="86"/>
  <c r="X57" i="65"/>
  <c r="X46" i="84"/>
  <c r="I20" i="97"/>
  <c r="M191" i="94"/>
  <c r="X37" i="84"/>
  <c r="X45" i="87"/>
  <c r="F13" i="83"/>
  <c r="C13" i="83"/>
  <c r="D56" i="82"/>
  <c r="D103" i="85"/>
  <c r="F43" i="86"/>
  <c r="B29" i="91"/>
  <c r="E73" i="91"/>
  <c r="Z35" i="65"/>
  <c r="M454" i="94"/>
  <c r="B33" i="83"/>
  <c r="V39" i="65"/>
  <c r="M487" i="94"/>
  <c r="B37" i="91"/>
  <c r="M534" i="94"/>
  <c r="Z43" i="65"/>
  <c r="Y71" i="92"/>
  <c r="B48" i="91"/>
  <c r="M652" i="94"/>
  <c r="Z54" i="65"/>
  <c r="B23" i="91"/>
  <c r="Z29" i="65"/>
  <c r="M424" i="94"/>
  <c r="J607" i="94"/>
  <c r="J1040" i="94" s="1"/>
  <c r="H44" i="87"/>
  <c r="H390" i="94"/>
  <c r="Y69" i="84"/>
  <c r="Y65" i="84"/>
  <c r="M579" i="94"/>
  <c r="V48" i="65"/>
  <c r="B42" i="83"/>
  <c r="E72" i="83"/>
  <c r="V32" i="65"/>
  <c r="B26" i="83"/>
  <c r="M444" i="94"/>
  <c r="M116" i="94"/>
  <c r="X36" i="87"/>
  <c r="I804" i="94"/>
  <c r="M924" i="94"/>
  <c r="R85" i="65"/>
  <c r="M42" i="47"/>
  <c r="AB18" i="100"/>
  <c r="D401" i="94"/>
  <c r="D44" i="47"/>
  <c r="D66" i="41"/>
  <c r="F65" i="41"/>
  <c r="E737" i="94"/>
  <c r="K311" i="94"/>
  <c r="K1007" i="94" s="1"/>
  <c r="B10" i="51"/>
  <c r="T10" i="65"/>
  <c r="M19" i="94"/>
  <c r="M22" i="94" s="1"/>
  <c r="B22" i="57" s="1"/>
  <c r="F22" i="57" s="1"/>
  <c r="H44" i="32"/>
  <c r="H408" i="94"/>
  <c r="H394" i="94"/>
  <c r="H77" i="94"/>
  <c r="F44" i="22"/>
  <c r="D19" i="21"/>
  <c r="D20" i="21"/>
  <c r="F391" i="94"/>
  <c r="M71" i="94"/>
  <c r="M74" i="94" s="1"/>
  <c r="B26" i="57" s="1"/>
  <c r="F26" i="57" s="1"/>
  <c r="B14" i="51"/>
  <c r="T14" i="65"/>
  <c r="L398" i="94"/>
  <c r="L44" i="37"/>
  <c r="L412" i="94"/>
  <c r="K241" i="94"/>
  <c r="K44" i="37"/>
  <c r="M904" i="94"/>
  <c r="L84" i="65"/>
  <c r="M915" i="94"/>
  <c r="J85" i="65"/>
  <c r="J44" i="42"/>
  <c r="J397" i="94"/>
  <c r="M768" i="94"/>
  <c r="B59" i="26"/>
  <c r="J65" i="65"/>
  <c r="E298" i="94"/>
  <c r="E1006" i="94" s="1"/>
  <c r="L111" i="17"/>
  <c r="L123" i="17"/>
  <c r="L107" i="17"/>
  <c r="F6" i="81"/>
  <c r="E73" i="51"/>
  <c r="M458" i="94"/>
  <c r="B29" i="51"/>
  <c r="T35" i="65"/>
  <c r="M701" i="94"/>
  <c r="J58" i="65"/>
  <c r="B52" i="26"/>
  <c r="X37" i="22"/>
  <c r="X38" i="22"/>
  <c r="M18" i="62"/>
  <c r="M693" i="94"/>
  <c r="Y74" i="42"/>
  <c r="D74" i="41"/>
  <c r="P57" i="65"/>
  <c r="B51" i="41"/>
  <c r="X33" i="32"/>
  <c r="M107" i="94"/>
  <c r="E391" i="94"/>
  <c r="E44" i="22"/>
  <c r="Y72" i="17"/>
  <c r="M663" i="94"/>
  <c r="F55" i="65"/>
  <c r="B49" i="16"/>
  <c r="M637" i="94"/>
  <c r="B47" i="16"/>
  <c r="F53" i="65"/>
  <c r="M197" i="94"/>
  <c r="X25" i="17"/>
  <c r="J19" i="97"/>
  <c r="M831" i="94"/>
  <c r="R71" i="65"/>
  <c r="B65" i="46"/>
  <c r="D736" i="94"/>
  <c r="M77" i="47"/>
  <c r="M736" i="94"/>
  <c r="J244" i="94"/>
  <c r="J44" i="47"/>
  <c r="J415" i="94"/>
  <c r="M306" i="94"/>
  <c r="X29" i="42"/>
  <c r="D18" i="31"/>
  <c r="D20" i="31"/>
  <c r="F237" i="94"/>
  <c r="H845" i="94"/>
  <c r="E75" i="36"/>
  <c r="Y67" i="37"/>
  <c r="M603" i="94"/>
  <c r="N50" i="65"/>
  <c r="B44" i="36"/>
  <c r="E398" i="94"/>
  <c r="E44" i="37"/>
  <c r="E412" i="94"/>
  <c r="M648" i="94"/>
  <c r="Y71" i="22"/>
  <c r="B48" i="21"/>
  <c r="H54" i="65"/>
  <c r="G259" i="94"/>
  <c r="M756" i="94"/>
  <c r="F64" i="65"/>
  <c r="B58" i="16"/>
  <c r="D391" i="94"/>
  <c r="D44" i="22"/>
  <c r="D63" i="22"/>
  <c r="M42" i="22"/>
  <c r="AB13" i="100"/>
  <c r="AJ13" i="100"/>
  <c r="E239" i="94"/>
  <c r="E44" i="14"/>
  <c r="M872" i="94"/>
  <c r="X75" i="47"/>
  <c r="R81" i="65"/>
  <c r="E502" i="94"/>
  <c r="E1030" i="94"/>
  <c r="M741" i="94"/>
  <c r="B57" i="21"/>
  <c r="H63" i="65"/>
  <c r="M517" i="94"/>
  <c r="H42" i="65"/>
  <c r="B36" i="21"/>
  <c r="H391" i="94"/>
  <c r="H44" i="22"/>
  <c r="M24" i="94"/>
  <c r="B11" i="21"/>
  <c r="H11" i="65"/>
  <c r="F10" i="65"/>
  <c r="E553" i="94"/>
  <c r="M62" i="47"/>
  <c r="M553" i="94"/>
  <c r="R15" i="97"/>
  <c r="M359" i="94"/>
  <c r="X28" i="37"/>
  <c r="X30" i="37"/>
  <c r="I16" i="74"/>
  <c r="M215" i="94"/>
  <c r="K15" i="97"/>
  <c r="M586" i="94"/>
  <c r="Y66" i="32"/>
  <c r="L49" i="65"/>
  <c r="B43" i="31"/>
  <c r="M221" i="94"/>
  <c r="L17" i="97"/>
  <c r="G44" i="32"/>
  <c r="G394" i="94"/>
  <c r="S74" i="27"/>
  <c r="S78" i="27"/>
  <c r="E11" i="68"/>
  <c r="M106" i="94"/>
  <c r="X33" i="17"/>
  <c r="X35" i="17"/>
  <c r="J12" i="74"/>
  <c r="M84" i="17"/>
  <c r="M795" i="94"/>
  <c r="K81" i="94"/>
  <c r="L44" i="14"/>
  <c r="L410" i="94"/>
  <c r="J33" i="51"/>
  <c r="M509" i="94"/>
  <c r="B35" i="2"/>
  <c r="D41" i="65"/>
  <c r="M675" i="94"/>
  <c r="Y73" i="27"/>
  <c r="J56" i="65"/>
  <c r="B50" i="26"/>
  <c r="L111" i="37"/>
  <c r="L123" i="37"/>
  <c r="L107" i="37"/>
  <c r="F10" i="81"/>
  <c r="J395" i="94"/>
  <c r="J44" i="92"/>
  <c r="J409" i="94"/>
  <c r="I400" i="94"/>
  <c r="I44" i="84"/>
  <c r="B32" i="91"/>
  <c r="Z38" i="65"/>
  <c r="M469" i="94"/>
  <c r="F50" i="91"/>
  <c r="K50" i="91"/>
  <c r="M50" i="91"/>
  <c r="D109" i="90"/>
  <c r="M18" i="84"/>
  <c r="D100" i="94"/>
  <c r="E45" i="86"/>
  <c r="F45" i="86"/>
  <c r="M134" i="94"/>
  <c r="X41" i="92"/>
  <c r="X26" i="92"/>
  <c r="M375" i="94"/>
  <c r="S14" i="97"/>
  <c r="D59" i="57"/>
  <c r="M580" i="94"/>
  <c r="Y65" i="47"/>
  <c r="D33" i="68"/>
  <c r="B42" i="46"/>
  <c r="R48" i="65"/>
  <c r="G844" i="94"/>
  <c r="M89" i="47"/>
  <c r="M844" i="94"/>
  <c r="M12" i="94"/>
  <c r="B10" i="26"/>
  <c r="J10" i="65"/>
  <c r="L22" i="65"/>
  <c r="M316" i="94"/>
  <c r="O18" i="97"/>
  <c r="Q26" i="32"/>
  <c r="Q30" i="32"/>
  <c r="M679" i="94"/>
  <c r="B50" i="2"/>
  <c r="D56" i="65"/>
  <c r="Y73" i="14"/>
  <c r="F983" i="94"/>
  <c r="U77" i="22"/>
  <c r="M11" i="94"/>
  <c r="H10" i="65"/>
  <c r="B10" i="21"/>
  <c r="M877" i="94"/>
  <c r="F82" i="65"/>
  <c r="L111" i="22"/>
  <c r="L123" i="22"/>
  <c r="L107" i="22"/>
  <c r="F7" i="81"/>
  <c r="E834" i="94"/>
  <c r="M89" i="22"/>
  <c r="M834" i="94"/>
  <c r="D311" i="94"/>
  <c r="D1007" i="94" s="1"/>
  <c r="G63" i="62"/>
  <c r="D731" i="94"/>
  <c r="M77" i="14"/>
  <c r="M731" i="94"/>
  <c r="M345" i="94"/>
  <c r="R28" i="42"/>
  <c r="R30" i="42"/>
  <c r="Q13" i="97"/>
  <c r="Q15" i="97"/>
  <c r="X46" i="37"/>
  <c r="X47" i="37"/>
  <c r="M16" i="74"/>
  <c r="M346" i="94"/>
  <c r="G19" i="98"/>
  <c r="F12" i="73"/>
  <c r="R15" i="99"/>
  <c r="C48" i="51"/>
  <c r="C43" i="51"/>
  <c r="C15" i="57"/>
  <c r="I11" i="64"/>
  <c r="G16" i="80"/>
  <c r="O16" i="80" s="1"/>
  <c r="U6" i="65"/>
  <c r="U7" i="65" s="1"/>
  <c r="E14" i="63"/>
  <c r="J37" i="51"/>
  <c r="C47" i="51"/>
  <c r="X37" i="92"/>
  <c r="X46" i="92"/>
  <c r="I21" i="97"/>
  <c r="M186" i="94"/>
  <c r="G838" i="94"/>
  <c r="M89" i="92"/>
  <c r="M838" i="94"/>
  <c r="L21" i="97"/>
  <c r="M225" i="94"/>
  <c r="M592" i="94"/>
  <c r="Y66" i="84"/>
  <c r="V49" i="65"/>
  <c r="W49" i="65"/>
  <c r="B43" i="83"/>
  <c r="J44" i="84"/>
  <c r="J400" i="94"/>
  <c r="K401" i="94"/>
  <c r="K44" i="47"/>
  <c r="M769" i="94"/>
  <c r="B59" i="16"/>
  <c r="F59" i="16"/>
  <c r="F65" i="65"/>
  <c r="M540" i="94"/>
  <c r="B37" i="46"/>
  <c r="R43" i="65"/>
  <c r="D77" i="94"/>
  <c r="M15" i="27"/>
  <c r="D63" i="27"/>
  <c r="M814" i="94"/>
  <c r="P70" i="65"/>
  <c r="P72" i="65"/>
  <c r="B64" i="41"/>
  <c r="F128" i="71"/>
  <c r="K118" i="71"/>
  <c r="L118" i="71"/>
  <c r="C6" i="57"/>
  <c r="R17" i="99"/>
  <c r="G22" i="80"/>
  <c r="Y6" i="65"/>
  <c r="Y7" i="65" s="1"/>
  <c r="G22" i="98"/>
  <c r="F22" i="73"/>
  <c r="G80" i="94"/>
  <c r="M15" i="92"/>
  <c r="D735" i="94"/>
  <c r="M77" i="84"/>
  <c r="M735" i="94"/>
  <c r="X26" i="84"/>
  <c r="M139" i="94"/>
  <c r="X41" i="84"/>
  <c r="E547" i="94"/>
  <c r="M62" i="92"/>
  <c r="M547" i="94"/>
  <c r="M62" i="87"/>
  <c r="M542" i="94"/>
  <c r="D542" i="94"/>
  <c r="M481" i="94"/>
  <c r="L39" i="65"/>
  <c r="B33" i="31"/>
  <c r="E75" i="21"/>
  <c r="M596" i="94"/>
  <c r="Y67" i="22"/>
  <c r="B44" i="21"/>
  <c r="H50" i="65"/>
  <c r="M716" i="94"/>
  <c r="L59" i="65"/>
  <c r="B53" i="31"/>
  <c r="D54" i="46"/>
  <c r="M881" i="94"/>
  <c r="P82" i="65"/>
  <c r="J398" i="94"/>
  <c r="J44" i="37"/>
  <c r="D778" i="94"/>
  <c r="D1055" i="94" s="1"/>
  <c r="L845" i="94"/>
  <c r="G82" i="94"/>
  <c r="M15" i="42"/>
  <c r="Y65" i="22"/>
  <c r="M570" i="94"/>
  <c r="D28" i="68"/>
  <c r="B42" i="21"/>
  <c r="H48" i="65"/>
  <c r="J515" i="94"/>
  <c r="J1031" i="94" s="1"/>
  <c r="D350" i="94"/>
  <c r="D1010" i="94" s="1"/>
  <c r="K16" i="97"/>
  <c r="X28" i="62"/>
  <c r="M216" i="94"/>
  <c r="I406" i="94"/>
  <c r="H350" i="94"/>
  <c r="H1010" i="94" s="1"/>
  <c r="K78" i="94"/>
  <c r="M29" i="62"/>
  <c r="P19" i="100" s="1"/>
  <c r="AK19" i="100" s="1"/>
  <c r="M514" i="94"/>
  <c r="B35" i="46"/>
  <c r="R41" i="65"/>
  <c r="E83" i="94"/>
  <c r="M651" i="94"/>
  <c r="Y71" i="32"/>
  <c r="B48" i="31"/>
  <c r="L54" i="65"/>
  <c r="M371" i="94"/>
  <c r="S13" i="97"/>
  <c r="M524" i="94"/>
  <c r="N42" i="65"/>
  <c r="B36" i="36"/>
  <c r="B59" i="91"/>
  <c r="F59" i="91"/>
  <c r="Z65" i="65"/>
  <c r="M771" i="94"/>
  <c r="D20" i="95"/>
  <c r="F20" i="95"/>
  <c r="S68" i="87"/>
  <c r="S74" i="87"/>
  <c r="S78" i="87"/>
  <c r="M89" i="87"/>
  <c r="M833" i="94"/>
  <c r="G833" i="94"/>
  <c r="E75" i="94"/>
  <c r="M15" i="87"/>
  <c r="L111" i="84"/>
  <c r="L123" i="84"/>
  <c r="L107" i="84"/>
  <c r="F14" i="81"/>
  <c r="B37" i="83"/>
  <c r="V43" i="65"/>
  <c r="M539" i="94"/>
  <c r="M495" i="94"/>
  <c r="B34" i="91"/>
  <c r="Z40" i="65"/>
  <c r="X38" i="65"/>
  <c r="B32" i="86"/>
  <c r="M464" i="94"/>
  <c r="E44" i="87"/>
  <c r="E404" i="94"/>
  <c r="E390" i="94"/>
  <c r="V66" i="65"/>
  <c r="M789" i="94"/>
  <c r="B60" i="83"/>
  <c r="F60" i="83"/>
  <c r="N20" i="80"/>
  <c r="O20" i="80"/>
  <c r="S20" i="97"/>
  <c r="M374" i="94"/>
  <c r="X28" i="84"/>
  <c r="M31" i="84"/>
  <c r="D257" i="94"/>
  <c r="M520" i="94"/>
  <c r="B36" i="31"/>
  <c r="L42" i="65"/>
  <c r="L18" i="97"/>
  <c r="M224" i="94"/>
  <c r="M530" i="94"/>
  <c r="H43" i="65"/>
  <c r="B37" i="21"/>
  <c r="I737" i="94"/>
  <c r="Y76" i="32"/>
  <c r="M891" i="94"/>
  <c r="L83" i="65"/>
  <c r="D255" i="94"/>
  <c r="M31" i="37"/>
  <c r="F128" i="94"/>
  <c r="F992" i="94" s="1"/>
  <c r="L44" i="42"/>
  <c r="L397" i="94"/>
  <c r="S68" i="37"/>
  <c r="S74" i="37"/>
  <c r="S78" i="37"/>
  <c r="E13" i="68"/>
  <c r="D14" i="95"/>
  <c r="M21" i="94"/>
  <c r="B10" i="46"/>
  <c r="R10" i="65"/>
  <c r="E446" i="94"/>
  <c r="E1022" i="94" s="1"/>
  <c r="D241" i="94"/>
  <c r="M29" i="37"/>
  <c r="P16" i="100"/>
  <c r="X25" i="32"/>
  <c r="J18" i="97"/>
  <c r="M198" i="94"/>
  <c r="E804" i="94"/>
  <c r="E73" i="21"/>
  <c r="M450" i="94"/>
  <c r="H35" i="65"/>
  <c r="B29" i="21"/>
  <c r="M104" i="94"/>
  <c r="X33" i="22"/>
  <c r="M764" i="94"/>
  <c r="B58" i="46"/>
  <c r="F58" i="46"/>
  <c r="R64" i="65"/>
  <c r="M782" i="94"/>
  <c r="B60" i="16"/>
  <c r="F60" i="16"/>
  <c r="N19" i="80"/>
  <c r="F66" i="65"/>
  <c r="M923" i="94"/>
  <c r="V85" i="65"/>
  <c r="M472" i="94"/>
  <c r="N38" i="65"/>
  <c r="B32" i="36"/>
  <c r="M333" i="94"/>
  <c r="P15" i="97"/>
  <c r="N23" i="65"/>
  <c r="N24" i="65" s="1"/>
  <c r="R28" i="37"/>
  <c r="D836" i="94"/>
  <c r="D845" i="94"/>
  <c r="M89" i="17"/>
  <c r="M836" i="94"/>
  <c r="H698" i="94"/>
  <c r="H1047" i="94" s="1"/>
  <c r="L102" i="94"/>
  <c r="M632" i="94"/>
  <c r="Y69" i="47"/>
  <c r="B46" i="46"/>
  <c r="R52" i="65"/>
  <c r="G728" i="94"/>
  <c r="X26" i="62"/>
  <c r="I554" i="94"/>
  <c r="G44" i="37"/>
  <c r="G398" i="94"/>
  <c r="M70" i="94"/>
  <c r="N14" i="65"/>
  <c r="B14" i="36"/>
  <c r="M498" i="94"/>
  <c r="N40" i="65"/>
  <c r="B34" i="36"/>
  <c r="R18" i="97"/>
  <c r="M355" i="94"/>
  <c r="X46" i="32"/>
  <c r="M185" i="94"/>
  <c r="I18" i="97"/>
  <c r="X37" i="32"/>
  <c r="T19" i="65"/>
  <c r="T20" i="65" s="1"/>
  <c r="Y75" i="42"/>
  <c r="M15" i="14"/>
  <c r="C50" i="51"/>
  <c r="F14" i="73"/>
  <c r="E7" i="63"/>
  <c r="C9" i="57"/>
  <c r="C42" i="16"/>
  <c r="C54" i="16" s="1"/>
  <c r="C43" i="16"/>
  <c r="R21" i="99"/>
  <c r="I14" i="64"/>
  <c r="G12" i="98"/>
  <c r="G19" i="80"/>
  <c r="G6" i="65"/>
  <c r="G819" i="94"/>
  <c r="G1060" i="94"/>
  <c r="J737" i="94"/>
  <c r="M348" i="94"/>
  <c r="Q20" i="97"/>
  <c r="R28" i="84"/>
  <c r="C14" i="83"/>
  <c r="F14" i="83"/>
  <c r="J14" i="83"/>
  <c r="D57" i="82"/>
  <c r="E44" i="91"/>
  <c r="D104" i="90"/>
  <c r="M103" i="94"/>
  <c r="X33" i="87"/>
  <c r="M160" i="94"/>
  <c r="Z18" i="65"/>
  <c r="G21" i="97"/>
  <c r="Q22" i="92"/>
  <c r="M776" i="94"/>
  <c r="B59" i="83"/>
  <c r="F59" i="83"/>
  <c r="V65" i="65"/>
  <c r="B49" i="83"/>
  <c r="Y72" i="84"/>
  <c r="V55" i="65"/>
  <c r="M670" i="94"/>
  <c r="M42" i="84"/>
  <c r="AB20" i="100"/>
  <c r="E44" i="92"/>
  <c r="D18" i="79"/>
  <c r="H547" i="94"/>
  <c r="H554" i="94"/>
  <c r="D476" i="94"/>
  <c r="D1028" i="94"/>
  <c r="E247" i="94"/>
  <c r="E259" i="94"/>
  <c r="M31" i="87"/>
  <c r="M683" i="94"/>
  <c r="Y73" i="84"/>
  <c r="V56" i="65"/>
  <c r="W56" i="65"/>
  <c r="B50" i="83"/>
  <c r="B36" i="83"/>
  <c r="V42" i="65"/>
  <c r="M526" i="94"/>
  <c r="F400" i="94"/>
  <c r="F44" i="84"/>
  <c r="F414" i="94"/>
  <c r="D19" i="83"/>
  <c r="D20" i="83"/>
  <c r="F50" i="86"/>
  <c r="K50" i="86"/>
  <c r="M50" i="86"/>
  <c r="D109" i="85"/>
  <c r="H52" i="65"/>
  <c r="B46" i="21"/>
  <c r="M622" i="94"/>
  <c r="M123" i="94"/>
  <c r="X36" i="42"/>
  <c r="D541" i="94"/>
  <c r="D1033" i="94" s="1"/>
  <c r="I607" i="94"/>
  <c r="I1040" i="94" s="1"/>
  <c r="H44" i="42"/>
  <c r="H240" i="94"/>
  <c r="X26" i="37"/>
  <c r="M294" i="94"/>
  <c r="X41" i="37"/>
  <c r="L86" i="94"/>
  <c r="F804" i="94"/>
  <c r="F102" i="94"/>
  <c r="M229" i="94"/>
  <c r="L16" i="97"/>
  <c r="M885" i="94"/>
  <c r="R82" i="65"/>
  <c r="M616" i="94"/>
  <c r="Y68" i="37"/>
  <c r="N51" i="65"/>
  <c r="B45" i="36"/>
  <c r="E74" i="36"/>
  <c r="Y71" i="27"/>
  <c r="M649" i="94"/>
  <c r="J54" i="65"/>
  <c r="B48" i="26"/>
  <c r="H78" i="94"/>
  <c r="M15" i="17"/>
  <c r="M31" i="42"/>
  <c r="M153" i="94"/>
  <c r="X42" i="47"/>
  <c r="X29" i="47"/>
  <c r="M576" i="94"/>
  <c r="Y65" i="42"/>
  <c r="B42" i="41"/>
  <c r="P48" i="65"/>
  <c r="D32" i="68"/>
  <c r="M426" i="94"/>
  <c r="B23" i="41"/>
  <c r="P29" i="65"/>
  <c r="M27" i="94"/>
  <c r="B11" i="31"/>
  <c r="L11" i="65"/>
  <c r="E765" i="94"/>
  <c r="E1054" i="94" s="1"/>
  <c r="M624" i="94"/>
  <c r="Y69" i="17"/>
  <c r="F52" i="65"/>
  <c r="B46" i="16"/>
  <c r="X38" i="62"/>
  <c r="M488" i="94"/>
  <c r="R39" i="65"/>
  <c r="B33" i="46"/>
  <c r="L244" i="94"/>
  <c r="L245" i="94"/>
  <c r="L44" i="47"/>
  <c r="L415" i="94"/>
  <c r="J86" i="94"/>
  <c r="M293" i="94"/>
  <c r="X26" i="42"/>
  <c r="X41" i="42"/>
  <c r="X43" i="42"/>
  <c r="M478" i="94"/>
  <c r="H39" i="65"/>
  <c r="B33" i="21"/>
  <c r="D272" i="94"/>
  <c r="D1004" i="94" s="1"/>
  <c r="D61" i="16"/>
  <c r="M583" i="94"/>
  <c r="Y66" i="22"/>
  <c r="B43" i="21"/>
  <c r="H49" i="65"/>
  <c r="M465" i="94"/>
  <c r="B32" i="21"/>
  <c r="H38" i="65"/>
  <c r="L128" i="94"/>
  <c r="L992" i="94" s="1"/>
  <c r="D256" i="94"/>
  <c r="M31" i="62"/>
  <c r="M878" i="94"/>
  <c r="L82" i="65"/>
  <c r="E394" i="94"/>
  <c r="E44" i="32"/>
  <c r="X36" i="32"/>
  <c r="M120" i="94"/>
  <c r="M700" i="94"/>
  <c r="P76" i="22"/>
  <c r="I7" i="81"/>
  <c r="H58" i="65"/>
  <c r="B52" i="21"/>
  <c r="M114" i="94"/>
  <c r="X33" i="47"/>
  <c r="L111" i="62"/>
  <c r="L123" i="62" s="1"/>
  <c r="L107" i="62" s="1"/>
  <c r="F13" i="81" s="1"/>
  <c r="E75" i="46"/>
  <c r="Y67" i="47"/>
  <c r="M606" i="94"/>
  <c r="R50" i="65"/>
  <c r="B44" i="46"/>
  <c r="D19" i="46"/>
  <c r="F401" i="94"/>
  <c r="F44" i="47"/>
  <c r="M612" i="94"/>
  <c r="Y68" i="32"/>
  <c r="L51" i="65"/>
  <c r="E74" i="31"/>
  <c r="B45" i="31"/>
  <c r="K752" i="94"/>
  <c r="K1053" i="94" s="1"/>
  <c r="K1057" i="94" s="1"/>
  <c r="M438" i="94"/>
  <c r="E72" i="31"/>
  <c r="B26" i="31"/>
  <c r="L32" i="65"/>
  <c r="Y74" i="27"/>
  <c r="D74" i="26"/>
  <c r="B51" i="26"/>
  <c r="J57" i="65"/>
  <c r="M688" i="94"/>
  <c r="D44" i="14"/>
  <c r="M29" i="14"/>
  <c r="P11" i="100"/>
  <c r="D239" i="94"/>
  <c r="L13" i="97"/>
  <c r="M227" i="94"/>
  <c r="F60" i="2"/>
  <c r="D253" i="94"/>
  <c r="M31" i="14"/>
  <c r="X28" i="47"/>
  <c r="F11" i="2"/>
  <c r="C50" i="16"/>
  <c r="M67" i="94"/>
  <c r="B14" i="91"/>
  <c r="Z14" i="65"/>
  <c r="Z15" i="65"/>
  <c r="D105" i="103"/>
  <c r="M513" i="94"/>
  <c r="V41" i="65"/>
  <c r="B35" i="83"/>
  <c r="M459" i="94"/>
  <c r="B29" i="83"/>
  <c r="E73" i="83"/>
  <c r="V35" i="65"/>
  <c r="X36" i="84"/>
  <c r="M126" i="94"/>
  <c r="D551" i="94"/>
  <c r="M62" i="62"/>
  <c r="M551" i="94" s="1"/>
  <c r="M554" i="94" s="1"/>
  <c r="M504" i="94"/>
  <c r="B35" i="21"/>
  <c r="H41" i="65"/>
  <c r="J78" i="94"/>
  <c r="D406" i="94"/>
  <c r="X26" i="47"/>
  <c r="M84" i="27"/>
  <c r="M794" i="94"/>
  <c r="D794" i="94"/>
  <c r="M593" i="94"/>
  <c r="B43" i="46"/>
  <c r="R49" i="65"/>
  <c r="M442" i="94"/>
  <c r="E72" i="36"/>
  <c r="N32" i="65"/>
  <c r="B26" i="36"/>
  <c r="G832" i="94"/>
  <c r="G1061" i="94"/>
  <c r="M178" i="94"/>
  <c r="R24" i="84"/>
  <c r="X34" i="84"/>
  <c r="X45" i="84"/>
  <c r="H20" i="97"/>
  <c r="L44" i="22"/>
  <c r="L391" i="94"/>
  <c r="E234" i="94"/>
  <c r="M29" i="22"/>
  <c r="P13" i="100"/>
  <c r="M911" i="94"/>
  <c r="R84" i="65"/>
  <c r="J259" i="94"/>
  <c r="M529" i="94"/>
  <c r="X43" i="65"/>
  <c r="B37" i="86"/>
  <c r="O21" i="97"/>
  <c r="Z22" i="65"/>
  <c r="Q26" i="92"/>
  <c r="M317" i="94"/>
  <c r="M49" i="94"/>
  <c r="B13" i="86"/>
  <c r="X13" i="65"/>
  <c r="O13" i="87"/>
  <c r="G11" i="86"/>
  <c r="D243" i="94"/>
  <c r="M29" i="84"/>
  <c r="P20" i="100"/>
  <c r="B36" i="91"/>
  <c r="M521" i="94"/>
  <c r="Z42" i="65"/>
  <c r="M85" i="94"/>
  <c r="D399" i="94"/>
  <c r="D44" i="62"/>
  <c r="M42" i="62"/>
  <c r="AB19" i="100" s="1"/>
  <c r="M511" i="94"/>
  <c r="B35" i="36"/>
  <c r="N41" i="65"/>
  <c r="H44" i="37"/>
  <c r="H398" i="94"/>
  <c r="J22" i="94"/>
  <c r="J982" i="94" s="1"/>
  <c r="J987" i="94" s="1"/>
  <c r="G390" i="94"/>
  <c r="G44" i="87"/>
  <c r="G404" i="94"/>
  <c r="D797" i="94"/>
  <c r="M84" i="92"/>
  <c r="M797" i="94"/>
  <c r="X42" i="84"/>
  <c r="M152" i="94"/>
  <c r="X29" i="84"/>
  <c r="D63" i="92"/>
  <c r="D409" i="94"/>
  <c r="F85" i="94"/>
  <c r="B53" i="83"/>
  <c r="V59" i="65"/>
  <c r="M722" i="94"/>
  <c r="H21" i="97"/>
  <c r="M173" i="94"/>
  <c r="X34" i="92"/>
  <c r="X35" i="92"/>
  <c r="J21" i="74"/>
  <c r="X45" i="92"/>
  <c r="Z19" i="65"/>
  <c r="Z20" i="65" s="1"/>
  <c r="R24" i="92"/>
  <c r="M618" i="94"/>
  <c r="B45" i="83"/>
  <c r="Y68" i="84"/>
  <c r="V51" i="65"/>
  <c r="E74" i="83"/>
  <c r="F43" i="91"/>
  <c r="D103" i="90"/>
  <c r="J102" i="94"/>
  <c r="I13" i="97"/>
  <c r="X46" i="42"/>
  <c r="X47" i="42"/>
  <c r="M17" i="74"/>
  <c r="X37" i="42"/>
  <c r="M188" i="94"/>
  <c r="K259" i="94"/>
  <c r="M267" i="94"/>
  <c r="X33" i="42"/>
  <c r="M460" i="94"/>
  <c r="B29" i="46"/>
  <c r="R35" i="65"/>
  <c r="E73" i="46"/>
  <c r="D546" i="94"/>
  <c r="M62" i="32"/>
  <c r="M546" i="94"/>
  <c r="M441" i="94"/>
  <c r="E72" i="41"/>
  <c r="P32" i="65"/>
  <c r="B26" i="41"/>
  <c r="D98" i="94"/>
  <c r="M18" i="37"/>
  <c r="M453" i="94"/>
  <c r="E73" i="31"/>
  <c r="B29" i="31"/>
  <c r="L35" i="65"/>
  <c r="E337" i="94"/>
  <c r="E1009" i="94" s="1"/>
  <c r="Y68" i="47"/>
  <c r="M619" i="94"/>
  <c r="E74" i="46"/>
  <c r="R51" i="65"/>
  <c r="B45" i="46"/>
  <c r="M231" i="94"/>
  <c r="L14" i="97"/>
  <c r="M211" i="94"/>
  <c r="K18" i="97"/>
  <c r="X28" i="32"/>
  <c r="M709" i="94"/>
  <c r="B52" i="83"/>
  <c r="V58" i="65"/>
  <c r="W58" i="65"/>
  <c r="P76" i="84"/>
  <c r="I14" i="81"/>
  <c r="M388" i="94"/>
  <c r="T14" i="97"/>
  <c r="M823" i="94"/>
  <c r="F71" i="65"/>
  <c r="B65" i="16"/>
  <c r="D74" i="21"/>
  <c r="M687" i="94"/>
  <c r="H57" i="65"/>
  <c r="Y74" i="22"/>
  <c r="B51" i="21"/>
  <c r="D61" i="46"/>
  <c r="F59" i="46"/>
  <c r="M757" i="94"/>
  <c r="B58" i="31"/>
  <c r="L64" i="65"/>
  <c r="M15" i="32"/>
  <c r="M901" i="94"/>
  <c r="H84" i="65"/>
  <c r="G239" i="94"/>
  <c r="G44" i="14"/>
  <c r="M15" i="37"/>
  <c r="L111" i="14"/>
  <c r="L123" i="14"/>
  <c r="L107" i="14"/>
  <c r="F5" i="81"/>
  <c r="B33" i="2"/>
  <c r="D39" i="65"/>
  <c r="M483" i="94"/>
  <c r="F13" i="73"/>
  <c r="E13" i="63"/>
  <c r="R14" i="99"/>
  <c r="S6" i="65"/>
  <c r="G18" i="98"/>
  <c r="C17" i="57"/>
  <c r="G14" i="80"/>
  <c r="C13" i="46"/>
  <c r="I9" i="64"/>
  <c r="J36" i="46"/>
  <c r="S22" i="97"/>
  <c r="M364" i="94"/>
  <c r="M299" i="94"/>
  <c r="X29" i="87"/>
  <c r="X42" i="87"/>
  <c r="M42" i="92"/>
  <c r="AB22" i="100"/>
  <c r="AJ22" i="100"/>
  <c r="B57" i="83"/>
  <c r="M750" i="94"/>
  <c r="V63" i="65"/>
  <c r="T22" i="97"/>
  <c r="M377" i="94"/>
  <c r="D802" i="94"/>
  <c r="M84" i="84"/>
  <c r="M802" i="94"/>
  <c r="D74" i="91"/>
  <c r="Z57" i="65"/>
  <c r="M691" i="94"/>
  <c r="Y74" i="92"/>
  <c r="B51" i="91"/>
  <c r="D44" i="84"/>
  <c r="U77" i="92"/>
  <c r="B66" i="83"/>
  <c r="M751" i="94"/>
  <c r="R63" i="65"/>
  <c r="B57" i="46"/>
  <c r="X41" i="32"/>
  <c r="M133" i="94"/>
  <c r="X26" i="32"/>
  <c r="Q26" i="22"/>
  <c r="Q30" i="22"/>
  <c r="O17" i="97"/>
  <c r="M313" i="94"/>
  <c r="H22" i="65"/>
  <c r="X37" i="37"/>
  <c r="M537" i="94"/>
  <c r="N43" i="65"/>
  <c r="B37" i="36"/>
  <c r="F594" i="94"/>
  <c r="M69" i="94"/>
  <c r="B14" i="41"/>
  <c r="P14" i="65"/>
  <c r="H79" i="94"/>
  <c r="M468" i="94"/>
  <c r="L38" i="65"/>
  <c r="B32" i="31"/>
  <c r="X75" i="27"/>
  <c r="J81" i="65"/>
  <c r="M863" i="94"/>
  <c r="B48" i="83"/>
  <c r="M657" i="94"/>
  <c r="Y71" i="84"/>
  <c r="V54" i="65"/>
  <c r="W54" i="65"/>
  <c r="D543" i="94"/>
  <c r="M62" i="22"/>
  <c r="M543" i="94"/>
  <c r="D912" i="94"/>
  <c r="D1069" i="94" s="1"/>
  <c r="L167" i="94"/>
  <c r="L995" i="94" s="1"/>
  <c r="M77" i="32"/>
  <c r="M729" i="94"/>
  <c r="G11" i="97"/>
  <c r="M161" i="94"/>
  <c r="D18" i="65"/>
  <c r="Q22" i="14"/>
  <c r="Q30" i="14"/>
  <c r="M213" i="94"/>
  <c r="K11" i="97"/>
  <c r="X28" i="14"/>
  <c r="D19" i="41"/>
  <c r="D20" i="41"/>
  <c r="F397" i="94"/>
  <c r="F44" i="42"/>
  <c r="F14" i="95"/>
  <c r="M385" i="94"/>
  <c r="T15" i="97"/>
  <c r="M809" i="94"/>
  <c r="B64" i="26"/>
  <c r="J70" i="65"/>
  <c r="K476" i="94"/>
  <c r="K1028" i="94" s="1"/>
  <c r="I259" i="94"/>
  <c r="B10" i="83"/>
  <c r="M20" i="94"/>
  <c r="V10" i="65"/>
  <c r="X29" i="65"/>
  <c r="B23" i="86"/>
  <c r="M419" i="94"/>
  <c r="G389" i="94"/>
  <c r="G1013" i="94" s="1"/>
  <c r="H581" i="94"/>
  <c r="H1038" i="94" s="1"/>
  <c r="I845" i="94"/>
  <c r="L259" i="94"/>
  <c r="K554" i="94"/>
  <c r="D19" i="95"/>
  <c r="F19" i="95"/>
  <c r="S68" i="92"/>
  <c r="S74" i="92"/>
  <c r="S78" i="92"/>
  <c r="M330" i="94"/>
  <c r="P21" i="97"/>
  <c r="R28" i="92"/>
  <c r="Z23" i="65"/>
  <c r="Z24" i="65" s="1"/>
  <c r="I44" i="87"/>
  <c r="I390" i="94"/>
  <c r="J80" i="94"/>
  <c r="B33" i="86"/>
  <c r="X39" i="65"/>
  <c r="M477" i="94"/>
  <c r="J659" i="94"/>
  <c r="J1044" i="94"/>
  <c r="U77" i="87"/>
  <c r="D15" i="83"/>
  <c r="M77" i="92"/>
  <c r="M730" i="94"/>
  <c r="B52" i="91"/>
  <c r="Z58" i="65"/>
  <c r="M704" i="94"/>
  <c r="P76" i="92"/>
  <c r="I16" i="81"/>
  <c r="K400" i="94"/>
  <c r="K44" i="84"/>
  <c r="M29" i="92"/>
  <c r="P22" i="100"/>
  <c r="AH22" i="100"/>
  <c r="D238" i="94"/>
  <c r="D792" i="94"/>
  <c r="M84" i="87"/>
  <c r="M792" i="94"/>
  <c r="X33" i="84"/>
  <c r="M113" i="94"/>
  <c r="D63" i="85"/>
  <c r="F35" i="86"/>
  <c r="J35" i="86"/>
  <c r="J38" i="86" s="1"/>
  <c r="K22" i="73" s="1"/>
  <c r="Z84" i="65"/>
  <c r="M905" i="94"/>
  <c r="I115" i="94"/>
  <c r="I991" i="94"/>
  <c r="Y68" i="92"/>
  <c r="B45" i="91"/>
  <c r="Z51" i="65"/>
  <c r="M613" i="94"/>
  <c r="E74" i="91"/>
  <c r="J20" i="97"/>
  <c r="M204" i="94"/>
  <c r="X25" i="84"/>
  <c r="D552" i="94"/>
  <c r="M62" i="84"/>
  <c r="M552" i="94"/>
  <c r="M361" i="94"/>
  <c r="R20" i="97"/>
  <c r="F63" i="92"/>
  <c r="F409" i="94"/>
  <c r="B35" i="91"/>
  <c r="M508" i="94"/>
  <c r="Z41" i="65"/>
  <c r="M18" i="87"/>
  <c r="H502" i="94"/>
  <c r="H1030" i="94"/>
  <c r="D95" i="94"/>
  <c r="M18" i="92"/>
  <c r="M338" i="94"/>
  <c r="Q22" i="97"/>
  <c r="X37" i="87"/>
  <c r="X46" i="87"/>
  <c r="X22" i="65"/>
  <c r="O22" i="97"/>
  <c r="M312" i="94"/>
  <c r="Q26" i="87"/>
  <c r="D104" i="85"/>
  <c r="E44" i="86"/>
  <c r="B42" i="91"/>
  <c r="M574" i="94"/>
  <c r="Y65" i="92"/>
  <c r="Z48" i="65"/>
  <c r="M713" i="94"/>
  <c r="B53" i="21"/>
  <c r="H59" i="65"/>
  <c r="M18" i="47"/>
  <c r="E101" i="94"/>
  <c r="E102" i="94"/>
  <c r="S74" i="42"/>
  <c r="S78" i="42"/>
  <c r="E14" i="68"/>
  <c r="D14" i="68"/>
  <c r="M507" i="94"/>
  <c r="B35" i="31"/>
  <c r="L41" i="65"/>
  <c r="F154" i="94"/>
  <c r="F994" i="94" s="1"/>
  <c r="E244" i="94"/>
  <c r="M29" i="47"/>
  <c r="P18" i="100"/>
  <c r="E44" i="47"/>
  <c r="M56" i="94"/>
  <c r="B13" i="41"/>
  <c r="P13" i="65"/>
  <c r="E672" i="94"/>
  <c r="E1045" i="94" s="1"/>
  <c r="J154" i="94"/>
  <c r="J994" i="94" s="1"/>
  <c r="F84" i="94"/>
  <c r="M15" i="62"/>
  <c r="F63" i="62"/>
  <c r="K13" i="97"/>
  <c r="X28" i="42"/>
  <c r="M214" i="94"/>
  <c r="Y70" i="42"/>
  <c r="M641" i="94"/>
  <c r="P53" i="65"/>
  <c r="B47" i="41"/>
  <c r="M485" i="94"/>
  <c r="B33" i="36"/>
  <c r="N39" i="65"/>
  <c r="K394" i="94"/>
  <c r="K44" i="32"/>
  <c r="K408" i="94"/>
  <c r="F752" i="94"/>
  <c r="E72" i="46"/>
  <c r="M445" i="94"/>
  <c r="R32" i="65"/>
  <c r="B26" i="46"/>
  <c r="M77" i="17"/>
  <c r="M728" i="94"/>
  <c r="M77" i="42"/>
  <c r="M732" i="94"/>
  <c r="G732" i="94"/>
  <c r="X33" i="37"/>
  <c r="M111" i="94"/>
  <c r="X77" i="22"/>
  <c r="S74" i="22"/>
  <c r="S78" i="22"/>
  <c r="E10" i="68"/>
  <c r="J391" i="94"/>
  <c r="J44" i="22"/>
  <c r="K17" i="97"/>
  <c r="X28" i="22"/>
  <c r="M208" i="94"/>
  <c r="P76" i="47"/>
  <c r="I12" i="81"/>
  <c r="M710" i="94"/>
  <c r="B52" i="46"/>
  <c r="R58" i="65"/>
  <c r="Y66" i="47"/>
  <c r="M536" i="94"/>
  <c r="B37" i="41"/>
  <c r="P43" i="65"/>
  <c r="J845" i="94"/>
  <c r="M18" i="42"/>
  <c r="M62" i="42"/>
  <c r="M549" i="94"/>
  <c r="V64" i="65"/>
  <c r="B58" i="83"/>
  <c r="F58" i="83"/>
  <c r="M763" i="94"/>
  <c r="E73" i="36"/>
  <c r="M457" i="94"/>
  <c r="B29" i="36"/>
  <c r="N35" i="65"/>
  <c r="I398" i="94"/>
  <c r="I44" i="37"/>
  <c r="D74" i="16"/>
  <c r="Y74" i="17"/>
  <c r="B51" i="16"/>
  <c r="M689" i="94"/>
  <c r="F57" i="65"/>
  <c r="D726" i="94"/>
  <c r="M77" i="22"/>
  <c r="M726" i="94"/>
  <c r="I298" i="94"/>
  <c r="I1006" i="94" s="1"/>
  <c r="D76" i="94"/>
  <c r="D87" i="94"/>
  <c r="M15" i="22"/>
  <c r="M18" i="22"/>
  <c r="M174" i="94"/>
  <c r="D19" i="65"/>
  <c r="X34" i="14"/>
  <c r="X35" i="14"/>
  <c r="J11" i="74"/>
  <c r="X45" i="14"/>
  <c r="H11" i="97"/>
  <c r="R24" i="14"/>
  <c r="M723" i="94"/>
  <c r="R59" i="65"/>
  <c r="B53" i="46"/>
  <c r="M130" i="94"/>
  <c r="X26" i="22"/>
  <c r="X41" i="22"/>
  <c r="J237" i="94"/>
  <c r="J44" i="32"/>
  <c r="J408" i="94"/>
  <c r="M53" i="94"/>
  <c r="B13" i="31"/>
  <c r="L13" i="65"/>
  <c r="J711" i="94"/>
  <c r="J1048" i="94"/>
  <c r="M420" i="94"/>
  <c r="B23" i="21"/>
  <c r="H29" i="65"/>
  <c r="D26" i="103"/>
  <c r="I78" i="94"/>
  <c r="I87" i="94"/>
  <c r="X29" i="62"/>
  <c r="X25" i="62"/>
  <c r="J16" i="97"/>
  <c r="M203" i="94"/>
  <c r="R14" i="97"/>
  <c r="X25" i="47"/>
  <c r="M362" i="94"/>
  <c r="M307" i="94"/>
  <c r="X42" i="37"/>
  <c r="J15" i="97"/>
  <c r="X25" i="37"/>
  <c r="M202" i="94"/>
  <c r="R24" i="37"/>
  <c r="N19" i="65"/>
  <c r="N20" i="65" s="1"/>
  <c r="M865" i="94"/>
  <c r="X75" i="32"/>
  <c r="L81" i="65"/>
  <c r="K804" i="94"/>
  <c r="X42" i="32"/>
  <c r="M146" i="94"/>
  <c r="X29" i="32"/>
  <c r="E77" i="94"/>
  <c r="M821" i="94"/>
  <c r="H71" i="65"/>
  <c r="B65" i="21"/>
  <c r="F65" i="21"/>
  <c r="R24" i="62"/>
  <c r="R30" i="62"/>
  <c r="M31" i="22"/>
  <c r="I272" i="94"/>
  <c r="I1004" i="94" s="1"/>
  <c r="M89" i="42"/>
  <c r="M840" i="94"/>
  <c r="E272" i="94"/>
  <c r="E1004" i="94" s="1"/>
  <c r="M187" i="94"/>
  <c r="X46" i="14"/>
  <c r="X37" i="14"/>
  <c r="I11" i="97"/>
  <c r="J11" i="97"/>
  <c r="M200" i="94"/>
  <c r="X25" i="14"/>
  <c r="M808" i="94"/>
  <c r="B64" i="21"/>
  <c r="H70" i="65"/>
  <c r="D49" i="65"/>
  <c r="B43" i="2"/>
  <c r="M588" i="94"/>
  <c r="Y66" i="14"/>
  <c r="M497" i="94"/>
  <c r="P40" i="65"/>
  <c r="B34" i="41"/>
  <c r="D397" i="94"/>
  <c r="M42" i="42"/>
  <c r="AB17" i="100"/>
  <c r="D44" i="42"/>
  <c r="D398" i="94"/>
  <c r="M42" i="37"/>
  <c r="AB16" i="100"/>
  <c r="D44" i="37"/>
  <c r="C47" i="21"/>
  <c r="C10" i="41"/>
  <c r="F112" i="63"/>
  <c r="E44" i="16"/>
  <c r="F44" i="16"/>
  <c r="F1019" i="94"/>
  <c r="X43" i="27"/>
  <c r="L14" i="74"/>
  <c r="X38" i="17"/>
  <c r="H1062" i="94"/>
  <c r="L1003" i="94"/>
  <c r="F66" i="51"/>
  <c r="U16" i="97"/>
  <c r="X30" i="65"/>
  <c r="D98" i="103"/>
  <c r="V36" i="65"/>
  <c r="D91" i="103"/>
  <c r="N30" i="65"/>
  <c r="D53" i="103"/>
  <c r="R30" i="65"/>
  <c r="D71" i="103"/>
  <c r="F33" i="65"/>
  <c r="D18" i="103"/>
  <c r="X47" i="62"/>
  <c r="M19" i="74" s="1"/>
  <c r="M24" i="74" s="1"/>
  <c r="M39" i="74" s="1"/>
  <c r="E6" i="65"/>
  <c r="E14" i="65" s="1"/>
  <c r="E15" i="65" s="1"/>
  <c r="K48" i="86"/>
  <c r="N48" i="86"/>
  <c r="I48" i="86"/>
  <c r="J21" i="102"/>
  <c r="P33" i="65"/>
  <c r="D63" i="103"/>
  <c r="L36" i="65"/>
  <c r="D46" i="103"/>
  <c r="L33" i="65"/>
  <c r="D45" i="103"/>
  <c r="P30" i="65"/>
  <c r="D62" i="103"/>
  <c r="X33" i="65"/>
  <c r="D99" i="103"/>
  <c r="L30" i="65"/>
  <c r="D44" i="103"/>
  <c r="D36" i="65"/>
  <c r="D10" i="103"/>
  <c r="D30" i="65"/>
  <c r="D8" i="103"/>
  <c r="F30" i="65"/>
  <c r="D17" i="103"/>
  <c r="T30" i="65"/>
  <c r="D80" i="103"/>
  <c r="N10" i="101"/>
  <c r="X10" i="102"/>
  <c r="I6" i="64"/>
  <c r="C12" i="57"/>
  <c r="G11" i="80"/>
  <c r="F19" i="73"/>
  <c r="R11" i="99"/>
  <c r="G11" i="98"/>
  <c r="E6" i="63"/>
  <c r="F35" i="63"/>
  <c r="K43" i="91"/>
  <c r="L43" i="91"/>
  <c r="K22" i="98"/>
  <c r="H21" i="101"/>
  <c r="I14" i="86"/>
  <c r="I11" i="86"/>
  <c r="E35" i="63"/>
  <c r="O10" i="101"/>
  <c r="H11" i="98"/>
  <c r="D56" i="45"/>
  <c r="G29" i="63"/>
  <c r="G42" i="63"/>
  <c r="V33" i="65"/>
  <c r="D90" i="103"/>
  <c r="Z36" i="65"/>
  <c r="D109" i="103"/>
  <c r="J33" i="65"/>
  <c r="D36" i="103"/>
  <c r="J36" i="65"/>
  <c r="D37" i="103"/>
  <c r="J30" i="65"/>
  <c r="D35" i="103"/>
  <c r="P36" i="65"/>
  <c r="D64" i="103"/>
  <c r="E13" i="65"/>
  <c r="R33" i="65"/>
  <c r="D72" i="103"/>
  <c r="J20" i="65"/>
  <c r="C14" i="2"/>
  <c r="N36" i="65"/>
  <c r="D55" i="103"/>
  <c r="N33" i="65"/>
  <c r="D54" i="103"/>
  <c r="F36" i="65"/>
  <c r="D19" i="103"/>
  <c r="H36" i="65"/>
  <c r="D28" i="103"/>
  <c r="R36" i="65"/>
  <c r="D73" i="103"/>
  <c r="T36" i="65"/>
  <c r="D82" i="103"/>
  <c r="Z30" i="65"/>
  <c r="D107" i="103"/>
  <c r="K43" i="86"/>
  <c r="L43" i="86"/>
  <c r="V30" i="65"/>
  <c r="D89" i="103"/>
  <c r="X36" i="65"/>
  <c r="D100" i="103"/>
  <c r="Z33" i="65"/>
  <c r="D108" i="103"/>
  <c r="D6" i="63"/>
  <c r="D11" i="1"/>
  <c r="X43" i="22"/>
  <c r="L63" i="27"/>
  <c r="L557" i="94"/>
  <c r="X27" i="22"/>
  <c r="J406" i="94"/>
  <c r="D39" i="16"/>
  <c r="D109" i="15"/>
  <c r="Q30" i="37"/>
  <c r="X47" i="27"/>
  <c r="M14" i="74"/>
  <c r="Q30" i="17"/>
  <c r="Q36" i="17"/>
  <c r="G6" i="81"/>
  <c r="N72" i="65"/>
  <c r="N73" i="65"/>
  <c r="D54" i="83"/>
  <c r="K63" i="87"/>
  <c r="K555" i="94"/>
  <c r="G737" i="94"/>
  <c r="C47" i="83"/>
  <c r="R72" i="65"/>
  <c r="X47" i="22"/>
  <c r="M13" i="74"/>
  <c r="L63" i="32"/>
  <c r="F46" i="31"/>
  <c r="K46" i="31"/>
  <c r="L46" i="31"/>
  <c r="E77" i="41"/>
  <c r="E80" i="41"/>
  <c r="AH15" i="100"/>
  <c r="D113" i="40"/>
  <c r="G117" i="63"/>
  <c r="G131" i="63"/>
  <c r="E45" i="41"/>
  <c r="F45" i="41"/>
  <c r="J72" i="65"/>
  <c r="X30" i="47"/>
  <c r="I18" i="74"/>
  <c r="Y75" i="62"/>
  <c r="Y77" i="62"/>
  <c r="Y78" i="62" s="1"/>
  <c r="J13" i="81" s="1"/>
  <c r="D106" i="82"/>
  <c r="Q30" i="42"/>
  <c r="Q35" i="42"/>
  <c r="K1014" i="94"/>
  <c r="H115" i="63"/>
  <c r="E63" i="62"/>
  <c r="E564" i="94" s="1"/>
  <c r="Q30" i="92"/>
  <c r="Q35" i="92"/>
  <c r="I72" i="63"/>
  <c r="X47" i="47"/>
  <c r="M18" i="74"/>
  <c r="D56" i="50"/>
  <c r="G30" i="63"/>
  <c r="G43" i="63" s="1"/>
  <c r="D133" i="71"/>
  <c r="K128" i="71"/>
  <c r="O19" i="80"/>
  <c r="J24" i="65"/>
  <c r="J26" i="65" s="1"/>
  <c r="AJ20" i="100"/>
  <c r="W24" i="100"/>
  <c r="W45" i="100"/>
  <c r="F1060" i="94"/>
  <c r="F1062" i="94" s="1"/>
  <c r="D987" i="94"/>
  <c r="F1047" i="94"/>
  <c r="D77" i="57"/>
  <c r="F66" i="83"/>
  <c r="F87" i="94"/>
  <c r="X35" i="84"/>
  <c r="J20" i="74"/>
  <c r="H63" i="84"/>
  <c r="H565" i="94"/>
  <c r="X35" i="62"/>
  <c r="J19" i="74"/>
  <c r="D119" i="63"/>
  <c r="F42" i="51"/>
  <c r="H564" i="94"/>
  <c r="D108" i="50"/>
  <c r="F49" i="51"/>
  <c r="K49" i="51" s="1"/>
  <c r="N49" i="51" s="1"/>
  <c r="K119" i="63"/>
  <c r="K133" i="63"/>
  <c r="E77" i="51"/>
  <c r="E80" i="51"/>
  <c r="D102" i="50"/>
  <c r="L119" i="63"/>
  <c r="L133" i="63" s="1"/>
  <c r="D109" i="50"/>
  <c r="F50" i="51"/>
  <c r="K50" i="51"/>
  <c r="M50" i="51" s="1"/>
  <c r="D20" i="51"/>
  <c r="M14" i="97"/>
  <c r="E554" i="94"/>
  <c r="K1062" i="94"/>
  <c r="K24" i="100"/>
  <c r="D39" i="41"/>
  <c r="P67" i="65"/>
  <c r="P68" i="65"/>
  <c r="D65" i="57"/>
  <c r="O13" i="80"/>
  <c r="X30" i="42"/>
  <c r="I17" i="74"/>
  <c r="U14" i="97"/>
  <c r="H63" i="47"/>
  <c r="H566" i="94"/>
  <c r="G566" i="94"/>
  <c r="F48" i="46"/>
  <c r="R30" i="47"/>
  <c r="AJ12" i="100"/>
  <c r="F52" i="51"/>
  <c r="K52" i="51"/>
  <c r="O52" i="51" s="1"/>
  <c r="N119" i="63"/>
  <c r="N133" i="63" s="1"/>
  <c r="D111" i="50"/>
  <c r="D61" i="40"/>
  <c r="E86" i="63"/>
  <c r="E99" i="63"/>
  <c r="F33" i="41"/>
  <c r="J33" i="41"/>
  <c r="G88" i="63"/>
  <c r="G101" i="63"/>
  <c r="F35" i="51"/>
  <c r="J35" i="51" s="1"/>
  <c r="D63" i="50"/>
  <c r="F117" i="63"/>
  <c r="F131" i="63"/>
  <c r="D104" i="40"/>
  <c r="E44" i="41"/>
  <c r="F44" i="41"/>
  <c r="Z67" i="65"/>
  <c r="Z68" i="65"/>
  <c r="J63" i="32"/>
  <c r="V24" i="100"/>
  <c r="V45" i="100"/>
  <c r="B66" i="51"/>
  <c r="X43" i="17"/>
  <c r="L12" i="74"/>
  <c r="D20" i="86"/>
  <c r="D39" i="86"/>
  <c r="D56" i="35"/>
  <c r="G27" i="63"/>
  <c r="D105" i="50"/>
  <c r="H119" i="63"/>
  <c r="H133" i="63" s="1"/>
  <c r="F46" i="51"/>
  <c r="G11" i="41"/>
  <c r="K91" i="62"/>
  <c r="K564" i="94"/>
  <c r="AJ16" i="100"/>
  <c r="I63" i="17"/>
  <c r="I91" i="17"/>
  <c r="R30" i="92"/>
  <c r="X22" i="92"/>
  <c r="G21" i="74"/>
  <c r="F44" i="83"/>
  <c r="J67" i="65"/>
  <c r="K63" i="22"/>
  <c r="C47" i="2"/>
  <c r="T67" i="65"/>
  <c r="T68" i="65" s="1"/>
  <c r="V73" i="65"/>
  <c r="R30" i="27"/>
  <c r="X22" i="27"/>
  <c r="G14" i="74"/>
  <c r="N24" i="100"/>
  <c r="N45" i="100"/>
  <c r="F11" i="51"/>
  <c r="J11" i="51" s="1"/>
  <c r="E30" i="63"/>
  <c r="D54" i="50"/>
  <c r="F33" i="26"/>
  <c r="J33" i="26"/>
  <c r="J38" i="26" s="1"/>
  <c r="E83" i="63"/>
  <c r="D61" i="25"/>
  <c r="B54" i="65"/>
  <c r="Z72" i="65"/>
  <c r="V67" i="65"/>
  <c r="V68" i="65"/>
  <c r="J63" i="14"/>
  <c r="J561" i="94"/>
  <c r="D112" i="50"/>
  <c r="O119" i="63"/>
  <c r="O133" i="63"/>
  <c r="F53" i="51"/>
  <c r="K53" i="51" s="1"/>
  <c r="O53" i="51" s="1"/>
  <c r="M119" i="63"/>
  <c r="M133" i="63" s="1"/>
  <c r="D51" i="51"/>
  <c r="D54" i="51"/>
  <c r="D110" i="50"/>
  <c r="X27" i="14"/>
  <c r="H11" i="74"/>
  <c r="X30" i="14"/>
  <c r="I11" i="74"/>
  <c r="H63" i="32"/>
  <c r="H91" i="32"/>
  <c r="I63" i="92"/>
  <c r="I91" i="92"/>
  <c r="D104" i="82"/>
  <c r="C52" i="51"/>
  <c r="D39" i="21"/>
  <c r="Q30" i="84"/>
  <c r="Q35" i="84"/>
  <c r="L63" i="92"/>
  <c r="L91" i="92"/>
  <c r="I42" i="16"/>
  <c r="H19" i="102" s="1"/>
  <c r="D39" i="91"/>
  <c r="U19" i="97"/>
  <c r="Q30" i="27"/>
  <c r="Q35" i="27"/>
  <c r="X35" i="42"/>
  <c r="J17" i="74"/>
  <c r="Y77" i="42"/>
  <c r="Y78" i="42"/>
  <c r="J11" i="81"/>
  <c r="D20" i="2"/>
  <c r="D39" i="2"/>
  <c r="F23" i="51"/>
  <c r="K14" i="101" s="1"/>
  <c r="D13" i="50"/>
  <c r="H59" i="63"/>
  <c r="D59" i="50"/>
  <c r="E45" i="51"/>
  <c r="F45" i="51"/>
  <c r="G119" i="63"/>
  <c r="G133" i="63"/>
  <c r="D113" i="50"/>
  <c r="D20" i="46"/>
  <c r="D39" i="46"/>
  <c r="D68" i="46"/>
  <c r="K245" i="94"/>
  <c r="M12" i="97"/>
  <c r="E77" i="26"/>
  <c r="E80" i="26"/>
  <c r="U12" i="97"/>
  <c r="D15" i="65"/>
  <c r="D64" i="40"/>
  <c r="H86" i="63"/>
  <c r="H99" i="63"/>
  <c r="F36" i="41"/>
  <c r="J36" i="41"/>
  <c r="X72" i="65"/>
  <c r="X73" i="65"/>
  <c r="X67" i="65"/>
  <c r="D15" i="85"/>
  <c r="E29" i="86"/>
  <c r="F29" i="86"/>
  <c r="G63" i="92"/>
  <c r="G560" i="94"/>
  <c r="D22" i="95"/>
  <c r="D112" i="90"/>
  <c r="F46" i="91"/>
  <c r="B61" i="91"/>
  <c r="X30" i="87"/>
  <c r="I22" i="74"/>
  <c r="M22" i="97"/>
  <c r="B61" i="86"/>
  <c r="X15" i="65"/>
  <c r="F1044" i="94"/>
  <c r="Q30" i="87"/>
  <c r="Q36" i="87"/>
  <c r="G15" i="81"/>
  <c r="D64" i="57"/>
  <c r="B18" i="86"/>
  <c r="F18" i="86"/>
  <c r="E63" i="87"/>
  <c r="E555" i="94"/>
  <c r="L24" i="100"/>
  <c r="M233" i="94"/>
  <c r="E77" i="86"/>
  <c r="E80" i="86"/>
  <c r="M646" i="94"/>
  <c r="B59" i="57"/>
  <c r="I24" i="100"/>
  <c r="D105" i="85"/>
  <c r="F46" i="86"/>
  <c r="R30" i="87"/>
  <c r="R35" i="87"/>
  <c r="AJ21" i="100"/>
  <c r="X43" i="87"/>
  <c r="L22" i="74"/>
  <c r="D30" i="79"/>
  <c r="F30" i="79" s="1"/>
  <c r="D107" i="35"/>
  <c r="F48" i="36"/>
  <c r="J116" i="63"/>
  <c r="M15" i="97"/>
  <c r="D116" i="63"/>
  <c r="D102" i="35"/>
  <c r="F42" i="36"/>
  <c r="M116" i="63"/>
  <c r="D51" i="36"/>
  <c r="D110" i="35"/>
  <c r="D259" i="94"/>
  <c r="X38" i="37"/>
  <c r="K16" i="74"/>
  <c r="J24" i="100"/>
  <c r="F46" i="36"/>
  <c r="D105" i="35"/>
  <c r="H116" i="63"/>
  <c r="F64" i="36"/>
  <c r="F66" i="36"/>
  <c r="B66" i="36"/>
  <c r="F47" i="36"/>
  <c r="K47" i="36"/>
  <c r="M47" i="36"/>
  <c r="D106" i="35"/>
  <c r="I116" i="63"/>
  <c r="D27" i="63"/>
  <c r="F10" i="36"/>
  <c r="D53" i="35"/>
  <c r="D65" i="30"/>
  <c r="I46" i="31"/>
  <c r="I84" i="63"/>
  <c r="Z24" i="100"/>
  <c r="Z45" i="100"/>
  <c r="D39" i="31"/>
  <c r="M899" i="94"/>
  <c r="M1068" i="94" s="1"/>
  <c r="G245" i="94"/>
  <c r="X35" i="27"/>
  <c r="J14" i="74"/>
  <c r="D57" i="25"/>
  <c r="D83" i="63"/>
  <c r="F32" i="26"/>
  <c r="J32" i="26"/>
  <c r="D60" i="25"/>
  <c r="B57" i="65"/>
  <c r="H245" i="94"/>
  <c r="H25" i="63"/>
  <c r="E114" i="63"/>
  <c r="F43" i="26"/>
  <c r="K43" i="26"/>
  <c r="L43" i="26"/>
  <c r="D103" i="25"/>
  <c r="B19" i="26"/>
  <c r="Y48" i="27"/>
  <c r="M392" i="94"/>
  <c r="B18" i="26"/>
  <c r="C18" i="26"/>
  <c r="F557" i="94"/>
  <c r="H63" i="27"/>
  <c r="H557" i="94"/>
  <c r="AJ14" i="100"/>
  <c r="F47" i="26"/>
  <c r="K47" i="26"/>
  <c r="M47" i="26"/>
  <c r="D106" i="25"/>
  <c r="I114" i="63"/>
  <c r="M235" i="94"/>
  <c r="D61" i="57"/>
  <c r="J73" i="65"/>
  <c r="F1001" i="94"/>
  <c r="G24" i="100"/>
  <c r="G45" i="100"/>
  <c r="M685" i="94"/>
  <c r="M1046" i="94" s="1"/>
  <c r="M659" i="94"/>
  <c r="M1044" i="94" s="1"/>
  <c r="H24" i="97"/>
  <c r="E45" i="16"/>
  <c r="G112" i="63"/>
  <c r="D113" i="15"/>
  <c r="D27" i="57"/>
  <c r="D63" i="17"/>
  <c r="D91" i="17"/>
  <c r="O24" i="97"/>
  <c r="M19" i="97"/>
  <c r="H63" i="17"/>
  <c r="H91" i="17"/>
  <c r="D57" i="57"/>
  <c r="X27" i="17"/>
  <c r="F1055" i="94"/>
  <c r="X47" i="17"/>
  <c r="M12" i="74"/>
  <c r="F986" i="94"/>
  <c r="H52" i="63"/>
  <c r="D13" i="15"/>
  <c r="D59" i="15"/>
  <c r="D62" i="15"/>
  <c r="F81" i="63"/>
  <c r="J34" i="16"/>
  <c r="J63" i="17"/>
  <c r="J558" i="94"/>
  <c r="K63" i="17"/>
  <c r="L63" i="17"/>
  <c r="D107" i="15"/>
  <c r="J112" i="63"/>
  <c r="F48" i="16"/>
  <c r="D33" i="79"/>
  <c r="F33" i="79" s="1"/>
  <c r="F111" i="63"/>
  <c r="F125" i="63"/>
  <c r="D104" i="1"/>
  <c r="E44" i="2"/>
  <c r="F44" i="2"/>
  <c r="I111" i="63"/>
  <c r="I125" i="63"/>
  <c r="R30" i="14"/>
  <c r="R36" i="14"/>
  <c r="H5" i="81"/>
  <c r="D67" i="65"/>
  <c r="D68" i="65"/>
  <c r="K87" i="94"/>
  <c r="X38" i="14"/>
  <c r="Y39" i="14"/>
  <c r="M180" i="94"/>
  <c r="M996" i="94"/>
  <c r="D13" i="1"/>
  <c r="F23" i="2"/>
  <c r="K10" i="101"/>
  <c r="D59" i="1"/>
  <c r="H51" i="63"/>
  <c r="H64" i="63"/>
  <c r="E26" i="2"/>
  <c r="B19" i="2"/>
  <c r="F19" i="2"/>
  <c r="J19" i="2"/>
  <c r="D66" i="1"/>
  <c r="D106" i="1"/>
  <c r="D72" i="65"/>
  <c r="D105" i="1"/>
  <c r="H111" i="63"/>
  <c r="H125" i="63"/>
  <c r="C46" i="2"/>
  <c r="F46" i="2"/>
  <c r="M396" i="94"/>
  <c r="M752" i="94"/>
  <c r="M1053" i="94"/>
  <c r="M285" i="94"/>
  <c r="M1005" i="94" s="1"/>
  <c r="F13" i="2"/>
  <c r="F15" i="2"/>
  <c r="G22" i="63"/>
  <c r="G35" i="63"/>
  <c r="C13" i="2"/>
  <c r="D56" i="1"/>
  <c r="Q36" i="47"/>
  <c r="G12" i="81"/>
  <c r="Q35" i="47"/>
  <c r="K12" i="74"/>
  <c r="Y39" i="17"/>
  <c r="P73" i="65"/>
  <c r="F53" i="16"/>
  <c r="K53" i="16"/>
  <c r="O53" i="16"/>
  <c r="D112" i="15"/>
  <c r="O112" i="63"/>
  <c r="P12" i="100"/>
  <c r="M711" i="94"/>
  <c r="B64" i="57"/>
  <c r="B85" i="65"/>
  <c r="AH11" i="100"/>
  <c r="H54" i="63"/>
  <c r="F23" i="26"/>
  <c r="K11" i="101"/>
  <c r="D59" i="25"/>
  <c r="D13" i="25"/>
  <c r="E26" i="16"/>
  <c r="F26" i="16"/>
  <c r="I52" i="63"/>
  <c r="D66" i="15"/>
  <c r="H81" i="63"/>
  <c r="D64" i="15"/>
  <c r="J36" i="16"/>
  <c r="L132" i="63"/>
  <c r="M272" i="94"/>
  <c r="M1004" i="94" s="1"/>
  <c r="J63" i="47"/>
  <c r="J91" i="47"/>
  <c r="M247" i="94"/>
  <c r="Q21" i="100"/>
  <c r="AI21" i="100"/>
  <c r="M607" i="94"/>
  <c r="E86" i="57"/>
  <c r="H87" i="94"/>
  <c r="AH17" i="100"/>
  <c r="X43" i="47"/>
  <c r="L18" i="74"/>
  <c r="F49" i="26"/>
  <c r="K49" i="26"/>
  <c r="N49" i="26"/>
  <c r="D108" i="25"/>
  <c r="K114" i="63"/>
  <c r="F57" i="51"/>
  <c r="F61" i="51"/>
  <c r="B61" i="51"/>
  <c r="H91" i="84"/>
  <c r="D110" i="1"/>
  <c r="M111" i="63"/>
  <c r="M125" i="63"/>
  <c r="D51" i="2"/>
  <c r="D54" i="2"/>
  <c r="I11" i="41"/>
  <c r="F53" i="41"/>
  <c r="K53" i="41"/>
  <c r="O53" i="41"/>
  <c r="O54" i="41"/>
  <c r="O56" i="41"/>
  <c r="P11" i="73" s="1"/>
  <c r="D112" i="40"/>
  <c r="O117" i="63"/>
  <c r="D56" i="20"/>
  <c r="F13" i="21"/>
  <c r="G24" i="63"/>
  <c r="G37" i="63"/>
  <c r="D112" i="1"/>
  <c r="O111" i="63"/>
  <c r="O125" i="63"/>
  <c r="F53" i="2"/>
  <c r="K53" i="2"/>
  <c r="O53" i="2"/>
  <c r="E81" i="63"/>
  <c r="D61" i="15"/>
  <c r="J33" i="16"/>
  <c r="H114" i="63"/>
  <c r="D105" i="25"/>
  <c r="D63" i="15"/>
  <c r="J35" i="16"/>
  <c r="G81" i="63"/>
  <c r="E414" i="94"/>
  <c r="E63" i="84"/>
  <c r="S24" i="100"/>
  <c r="S45" i="100" s="1"/>
  <c r="AJ17" i="100"/>
  <c r="M141" i="94"/>
  <c r="M993" i="94"/>
  <c r="X35" i="37"/>
  <c r="J16" i="74"/>
  <c r="J63" i="92"/>
  <c r="J91" i="92"/>
  <c r="M219" i="94"/>
  <c r="M999" i="94"/>
  <c r="B84" i="65"/>
  <c r="M1031" i="94"/>
  <c r="L63" i="47"/>
  <c r="L566" i="94"/>
  <c r="AH16" i="100"/>
  <c r="E63" i="37"/>
  <c r="E563" i="94"/>
  <c r="B82" i="65"/>
  <c r="M99" i="94"/>
  <c r="E19" i="100"/>
  <c r="AG19" i="100" s="1"/>
  <c r="X38" i="87"/>
  <c r="K22" i="74"/>
  <c r="M94" i="94"/>
  <c r="E15" i="100"/>
  <c r="AG15" i="100"/>
  <c r="M252" i="94"/>
  <c r="Q22" i="100"/>
  <c r="AI22" i="100"/>
  <c r="M20" i="97"/>
  <c r="J63" i="87"/>
  <c r="J91" i="87"/>
  <c r="R30" i="32"/>
  <c r="R36" i="32"/>
  <c r="H9" i="81"/>
  <c r="K63" i="32"/>
  <c r="K91" i="32"/>
  <c r="F52" i="16"/>
  <c r="K52" i="16"/>
  <c r="O52" i="16"/>
  <c r="D111" i="15"/>
  <c r="N112" i="63"/>
  <c r="D80" i="63"/>
  <c r="D93" i="63"/>
  <c r="F32" i="2"/>
  <c r="J32" i="2"/>
  <c r="D60" i="1"/>
  <c r="F49" i="21"/>
  <c r="K49" i="21"/>
  <c r="N49" i="21"/>
  <c r="K113" i="63"/>
  <c r="K127" i="63"/>
  <c r="D108" i="20"/>
  <c r="J54" i="63"/>
  <c r="E29" i="26"/>
  <c r="F29" i="26"/>
  <c r="D67" i="25"/>
  <c r="D15" i="25"/>
  <c r="F42" i="26"/>
  <c r="K42" i="26"/>
  <c r="L42" i="26"/>
  <c r="D114" i="63"/>
  <c r="D102" i="25"/>
  <c r="D107" i="45"/>
  <c r="J118" i="63"/>
  <c r="J132" i="63"/>
  <c r="D108" i="85"/>
  <c r="F49" i="86"/>
  <c r="K49" i="86"/>
  <c r="N49" i="86"/>
  <c r="N54" i="86"/>
  <c r="M115" i="63"/>
  <c r="D51" i="31"/>
  <c r="D54" i="31"/>
  <c r="D110" i="30"/>
  <c r="J119" i="63"/>
  <c r="J133" i="63" s="1"/>
  <c r="F48" i="51"/>
  <c r="D107" i="50"/>
  <c r="F50" i="36"/>
  <c r="K50" i="36"/>
  <c r="M50" i="36"/>
  <c r="L116" i="63"/>
  <c r="D109" i="35"/>
  <c r="D67" i="15"/>
  <c r="E29" i="16"/>
  <c r="F29" i="16"/>
  <c r="D15" i="15"/>
  <c r="J52" i="63"/>
  <c r="M258" i="94"/>
  <c r="Q18" i="100"/>
  <c r="AI18" i="100"/>
  <c r="G87" i="94"/>
  <c r="F83" i="63"/>
  <c r="F34" i="26"/>
  <c r="J34" i="26"/>
  <c r="D62" i="25"/>
  <c r="B38" i="26"/>
  <c r="D14" i="25"/>
  <c r="E63" i="17"/>
  <c r="E407" i="94"/>
  <c r="L113" i="63"/>
  <c r="L127" i="63"/>
  <c r="F50" i="21"/>
  <c r="K50" i="21"/>
  <c r="M50" i="21"/>
  <c r="D109" i="20"/>
  <c r="D111" i="63"/>
  <c r="D125" i="63"/>
  <c r="C42" i="2"/>
  <c r="F42" i="2"/>
  <c r="D102" i="1"/>
  <c r="H83" i="63"/>
  <c r="D64" i="25"/>
  <c r="F36" i="26"/>
  <c r="J36" i="26"/>
  <c r="M98" i="94"/>
  <c r="E16" i="100"/>
  <c r="AG16" i="100"/>
  <c r="AH20" i="100"/>
  <c r="M253" i="94"/>
  <c r="Q11" i="100"/>
  <c r="M672" i="94"/>
  <c r="M1045" i="94" s="1"/>
  <c r="F36" i="2"/>
  <c r="J36" i="2"/>
  <c r="D64" i="1"/>
  <c r="H80" i="63"/>
  <c r="H93" i="63"/>
  <c r="I415" i="94"/>
  <c r="I63" i="47"/>
  <c r="L414" i="94"/>
  <c r="L63" i="84"/>
  <c r="F46" i="41"/>
  <c r="D105" i="40"/>
  <c r="H117" i="63"/>
  <c r="B35" i="65"/>
  <c r="M91" i="94"/>
  <c r="E13" i="100"/>
  <c r="AG13" i="100"/>
  <c r="Q24" i="97"/>
  <c r="M90" i="94"/>
  <c r="E21" i="100"/>
  <c r="AG21" i="100"/>
  <c r="F61" i="86"/>
  <c r="L67" i="65"/>
  <c r="L68" i="65"/>
  <c r="F63" i="84"/>
  <c r="F91" i="84"/>
  <c r="AH13" i="100"/>
  <c r="X47" i="84"/>
  <c r="M20" i="74"/>
  <c r="M44" i="27"/>
  <c r="AC14" i="100"/>
  <c r="AK14" i="100"/>
  <c r="X35" i="47"/>
  <c r="J18" i="74"/>
  <c r="M298" i="94"/>
  <c r="M1006" i="94" s="1"/>
  <c r="H63" i="92"/>
  <c r="H91" i="92"/>
  <c r="M18" i="97"/>
  <c r="M461" i="94"/>
  <c r="E85" i="57" s="1"/>
  <c r="M257" i="94"/>
  <c r="Q20" i="100"/>
  <c r="AI20" i="100"/>
  <c r="X27" i="92"/>
  <c r="H21" i="74"/>
  <c r="X35" i="32"/>
  <c r="J15" i="74"/>
  <c r="M44" i="17"/>
  <c r="AC12" i="100"/>
  <c r="F58" i="91"/>
  <c r="F61" i="91"/>
  <c r="M620" i="94"/>
  <c r="E87" i="57" s="1"/>
  <c r="O54" i="86"/>
  <c r="F982" i="94"/>
  <c r="F1056" i="94"/>
  <c r="C13" i="21"/>
  <c r="M250" i="94"/>
  <c r="Q12" i="100"/>
  <c r="AI12" i="100"/>
  <c r="E117" i="63"/>
  <c r="D103" i="40"/>
  <c r="F43" i="41"/>
  <c r="K43" i="41"/>
  <c r="L43" i="41"/>
  <c r="AJ11" i="100"/>
  <c r="G406" i="94"/>
  <c r="G63" i="27"/>
  <c r="Y24" i="100"/>
  <c r="Y45" i="100" s="1"/>
  <c r="F65" i="2"/>
  <c r="F66" i="2"/>
  <c r="B66" i="2"/>
  <c r="D57" i="20"/>
  <c r="H24" i="63"/>
  <c r="F14" i="21"/>
  <c r="J14" i="21"/>
  <c r="F57" i="36"/>
  <c r="F61" i="36"/>
  <c r="B61" i="36"/>
  <c r="Y75" i="14"/>
  <c r="Y77" i="14"/>
  <c r="Y78" i="14"/>
  <c r="J5" i="81"/>
  <c r="X77" i="14"/>
  <c r="D26" i="63"/>
  <c r="D53" i="30"/>
  <c r="F10" i="31"/>
  <c r="H26" i="63"/>
  <c r="F14" i="31"/>
  <c r="D57" i="30"/>
  <c r="J11" i="16"/>
  <c r="D54" i="15"/>
  <c r="C11" i="16"/>
  <c r="E23" i="63"/>
  <c r="AH14" i="100"/>
  <c r="M206" i="94"/>
  <c r="M998" i="94"/>
  <c r="M765" i="94"/>
  <c r="M1054" i="94" s="1"/>
  <c r="D66" i="90"/>
  <c r="E26" i="91"/>
  <c r="F26" i="91"/>
  <c r="M93" i="94"/>
  <c r="E12" i="100"/>
  <c r="AG12" i="100"/>
  <c r="F11" i="36"/>
  <c r="D54" i="35"/>
  <c r="E27" i="63"/>
  <c r="F44" i="65"/>
  <c r="D20" i="103"/>
  <c r="M248" i="94"/>
  <c r="Q13" i="100"/>
  <c r="AI13" i="100"/>
  <c r="M44" i="92"/>
  <c r="AC22" i="100"/>
  <c r="AK22" i="100"/>
  <c r="M101" i="94"/>
  <c r="E18" i="100"/>
  <c r="AG18" i="100"/>
  <c r="G1062" i="94"/>
  <c r="S24" i="97"/>
  <c r="M100" i="94"/>
  <c r="E20" i="100"/>
  <c r="AG20" i="100"/>
  <c r="L63" i="37"/>
  <c r="L91" i="37"/>
  <c r="D73" i="65"/>
  <c r="U11" i="97"/>
  <c r="I83" i="63"/>
  <c r="F37" i="26"/>
  <c r="J37" i="26"/>
  <c r="D65" i="25"/>
  <c r="K402" i="94"/>
  <c r="U17" i="97"/>
  <c r="X47" i="92"/>
  <c r="M21" i="74"/>
  <c r="D11" i="79"/>
  <c r="I63" i="42"/>
  <c r="I562" i="94"/>
  <c r="M254" i="94"/>
  <c r="Q17" i="100"/>
  <c r="AI17" i="100"/>
  <c r="X38" i="42"/>
  <c r="K17" i="74"/>
  <c r="M167" i="94"/>
  <c r="M995" i="94"/>
  <c r="N15" i="65"/>
  <c r="M255" i="94"/>
  <c r="Q16" i="100"/>
  <c r="AI16" i="100"/>
  <c r="X30" i="84"/>
  <c r="I20" i="74"/>
  <c r="U13" i="97"/>
  <c r="J10" i="41"/>
  <c r="J68" i="65"/>
  <c r="AJ18" i="100"/>
  <c r="C50" i="21"/>
  <c r="X27" i="42"/>
  <c r="H17" i="74"/>
  <c r="T60" i="65"/>
  <c r="T61" i="65" s="1"/>
  <c r="M96" i="94"/>
  <c r="E11" i="100"/>
  <c r="D104" i="25"/>
  <c r="E44" i="26"/>
  <c r="E54" i="26"/>
  <c r="F44" i="26"/>
  <c r="F114" i="63"/>
  <c r="F13" i="26"/>
  <c r="G14" i="26"/>
  <c r="D56" i="25"/>
  <c r="G25" i="63"/>
  <c r="G407" i="94"/>
  <c r="G63" i="17"/>
  <c r="D106" i="85"/>
  <c r="F47" i="86"/>
  <c r="K47" i="86"/>
  <c r="M47" i="86"/>
  <c r="M54" i="86"/>
  <c r="N67" i="65"/>
  <c r="N68" i="65"/>
  <c r="N116" i="63"/>
  <c r="F52" i="36"/>
  <c r="K52" i="36"/>
  <c r="O52" i="36"/>
  <c r="O54" i="36"/>
  <c r="D111" i="35"/>
  <c r="AH21" i="100"/>
  <c r="K116" i="63"/>
  <c r="D108" i="35"/>
  <c r="F49" i="36"/>
  <c r="K49" i="36"/>
  <c r="N49" i="36"/>
  <c r="F34" i="2"/>
  <c r="J34" i="2"/>
  <c r="D62" i="1"/>
  <c r="F80" i="63"/>
  <c r="F93" i="63"/>
  <c r="I113" i="63"/>
  <c r="I127" i="63"/>
  <c r="F47" i="21"/>
  <c r="K47" i="21"/>
  <c r="M47" i="21"/>
  <c r="D106" i="20"/>
  <c r="M92" i="94"/>
  <c r="E14" i="100"/>
  <c r="AG14" i="100"/>
  <c r="D65" i="15"/>
  <c r="I81" i="63"/>
  <c r="J37" i="16"/>
  <c r="U24" i="100"/>
  <c r="U45" i="100" s="1"/>
  <c r="M249" i="94"/>
  <c r="Q14" i="100"/>
  <c r="AI14" i="100"/>
  <c r="B65" i="65"/>
  <c r="M251" i="94"/>
  <c r="Q15" i="100"/>
  <c r="AI15" i="100"/>
  <c r="X68" i="65"/>
  <c r="D109" i="30"/>
  <c r="F50" i="31"/>
  <c r="K50" i="31"/>
  <c r="M50" i="31"/>
  <c r="L115" i="63"/>
  <c r="D60" i="15"/>
  <c r="D81" i="63"/>
  <c r="B38" i="16"/>
  <c r="D14" i="15"/>
  <c r="M97" i="94"/>
  <c r="E17" i="100"/>
  <c r="AG17" i="100"/>
  <c r="AJ15" i="100"/>
  <c r="R24" i="100"/>
  <c r="R45" i="100" s="1"/>
  <c r="M594" i="94"/>
  <c r="M1039" i="94" s="1"/>
  <c r="M1050" i="94" s="1"/>
  <c r="O737" i="94" s="1"/>
  <c r="AH18" i="100"/>
  <c r="M256" i="94"/>
  <c r="Q19" i="100"/>
  <c r="AI19" i="100" s="1"/>
  <c r="E54" i="86"/>
  <c r="B10" i="65"/>
  <c r="D9" i="79"/>
  <c r="D102" i="94"/>
  <c r="T44" i="65"/>
  <c r="D83" i="103"/>
  <c r="E26" i="26"/>
  <c r="I54" i="63"/>
  <c r="D66" i="25"/>
  <c r="F63" i="17"/>
  <c r="F407" i="94"/>
  <c r="J111" i="63"/>
  <c r="J125" i="63"/>
  <c r="D107" i="1"/>
  <c r="F48" i="2"/>
  <c r="C48" i="2"/>
  <c r="D56" i="15"/>
  <c r="G23" i="63"/>
  <c r="E63" i="27"/>
  <c r="E557" i="94"/>
  <c r="F63" i="37"/>
  <c r="F91" i="37"/>
  <c r="M724" i="94"/>
  <c r="M1049" i="94"/>
  <c r="M95" i="94"/>
  <c r="E22" i="100"/>
  <c r="AG22" i="100"/>
  <c r="M311" i="94"/>
  <c r="M1007" i="94" s="1"/>
  <c r="H37" i="63"/>
  <c r="E77" i="2"/>
  <c r="E80" i="2"/>
  <c r="R30" i="22"/>
  <c r="R36" i="22"/>
  <c r="H7" i="81"/>
  <c r="F46" i="26"/>
  <c r="K46" i="26"/>
  <c r="M873" i="94"/>
  <c r="M1066" i="94" s="1"/>
  <c r="V44" i="65"/>
  <c r="D92" i="103"/>
  <c r="G63" i="87"/>
  <c r="G91" i="87"/>
  <c r="Y75" i="37"/>
  <c r="Y77" i="37"/>
  <c r="Y78" i="37"/>
  <c r="J10" i="81"/>
  <c r="X77" i="37"/>
  <c r="T24" i="100"/>
  <c r="T45" i="100"/>
  <c r="J44" i="65"/>
  <c r="D38" i="103"/>
  <c r="F57" i="2"/>
  <c r="B61" i="2"/>
  <c r="C52" i="2"/>
  <c r="N111" i="63"/>
  <c r="N125" i="63"/>
  <c r="D111" i="1"/>
  <c r="F52" i="2"/>
  <c r="K52" i="2"/>
  <c r="O52" i="2"/>
  <c r="J14" i="16"/>
  <c r="H23" i="63"/>
  <c r="D57" i="15"/>
  <c r="X38" i="27"/>
  <c r="F47" i="31"/>
  <c r="K47" i="31"/>
  <c r="M47" i="31"/>
  <c r="I115" i="63"/>
  <c r="D106" i="30"/>
  <c r="F43" i="16"/>
  <c r="K43" i="16"/>
  <c r="L43" i="16"/>
  <c r="D103" i="15"/>
  <c r="E112" i="63"/>
  <c r="D88" i="63"/>
  <c r="F32" i="51"/>
  <c r="J32" i="51"/>
  <c r="D60" i="50"/>
  <c r="E77" i="16"/>
  <c r="E80" i="16"/>
  <c r="E29" i="41"/>
  <c r="F29" i="41"/>
  <c r="D67" i="40"/>
  <c r="J57" i="63"/>
  <c r="B61" i="41"/>
  <c r="X30" i="27"/>
  <c r="D67" i="1"/>
  <c r="E29" i="2"/>
  <c r="F29" i="2"/>
  <c r="J51" i="63"/>
  <c r="J64" i="63"/>
  <c r="D15" i="1"/>
  <c r="G53" i="65"/>
  <c r="K13" i="74"/>
  <c r="Q36" i="14"/>
  <c r="G5" i="81"/>
  <c r="Q35" i="14"/>
  <c r="C43" i="46"/>
  <c r="D103" i="45"/>
  <c r="F43" i="46"/>
  <c r="E118" i="63"/>
  <c r="E132" i="63"/>
  <c r="D105" i="45"/>
  <c r="F46" i="46"/>
  <c r="C46" i="46"/>
  <c r="H118" i="63"/>
  <c r="H132" i="63"/>
  <c r="F113" i="63"/>
  <c r="E44" i="21"/>
  <c r="F44" i="21"/>
  <c r="D104" i="20"/>
  <c r="F37" i="91"/>
  <c r="J37" i="91"/>
  <c r="D65" i="90"/>
  <c r="F559" i="94"/>
  <c r="F91" i="32"/>
  <c r="R44" i="65"/>
  <c r="D74" i="103"/>
  <c r="G63" i="84"/>
  <c r="G414" i="94"/>
  <c r="B15" i="41"/>
  <c r="C13" i="41"/>
  <c r="G28" i="63"/>
  <c r="D56" i="40"/>
  <c r="F13" i="41"/>
  <c r="M350" i="94"/>
  <c r="M1010" i="94"/>
  <c r="B18" i="91"/>
  <c r="M238" i="94"/>
  <c r="D107" i="82"/>
  <c r="F48" i="83"/>
  <c r="C48" i="83"/>
  <c r="X38" i="84"/>
  <c r="G412" i="94"/>
  <c r="G63" i="37"/>
  <c r="I557" i="94"/>
  <c r="I91" i="27"/>
  <c r="C10" i="16"/>
  <c r="D23" i="63"/>
  <c r="B15" i="16"/>
  <c r="D53" i="15"/>
  <c r="F47" i="16"/>
  <c r="D106" i="15"/>
  <c r="I112" i="63"/>
  <c r="C47" i="16"/>
  <c r="F23" i="91"/>
  <c r="D13" i="90"/>
  <c r="D59" i="90"/>
  <c r="I58" i="63"/>
  <c r="I71" i="63"/>
  <c r="E26" i="46"/>
  <c r="F26" i="46"/>
  <c r="D66" i="45"/>
  <c r="E85" i="63"/>
  <c r="F33" i="36"/>
  <c r="D61" i="35"/>
  <c r="Z60" i="65"/>
  <c r="Z61" i="65"/>
  <c r="Q35" i="87"/>
  <c r="K414" i="94"/>
  <c r="K63" i="84"/>
  <c r="D53" i="82"/>
  <c r="F10" i="83"/>
  <c r="B15" i="83"/>
  <c r="C10" i="83"/>
  <c r="C15" i="83" s="1"/>
  <c r="X43" i="32"/>
  <c r="F57" i="83"/>
  <c r="F61" i="83"/>
  <c r="B61" i="83"/>
  <c r="M83" i="94"/>
  <c r="H22" i="74"/>
  <c r="N113" i="63"/>
  <c r="F52" i="21"/>
  <c r="K52" i="21"/>
  <c r="O52" i="21"/>
  <c r="C52" i="21"/>
  <c r="D111" i="20"/>
  <c r="D82" i="63"/>
  <c r="B38" i="21"/>
  <c r="D14" i="20"/>
  <c r="F32" i="21"/>
  <c r="D60" i="20"/>
  <c r="L17" i="74"/>
  <c r="Y48" i="42"/>
  <c r="P60" i="65"/>
  <c r="P61" i="65"/>
  <c r="Q48" i="65"/>
  <c r="M78" i="94"/>
  <c r="E409" i="94"/>
  <c r="E63" i="92"/>
  <c r="F49" i="83"/>
  <c r="K49" i="83"/>
  <c r="N49" i="83"/>
  <c r="D108" i="82"/>
  <c r="D62" i="35"/>
  <c r="F34" i="36"/>
  <c r="F85" i="63"/>
  <c r="X44" i="65"/>
  <c r="D101" i="103"/>
  <c r="G63" i="42"/>
  <c r="G564" i="94"/>
  <c r="G91" i="62"/>
  <c r="H91" i="47"/>
  <c r="F42" i="46"/>
  <c r="D102" i="45"/>
  <c r="B54" i="46"/>
  <c r="D118" i="63"/>
  <c r="C42" i="46"/>
  <c r="B38" i="91"/>
  <c r="D14" i="90"/>
  <c r="F32" i="91"/>
  <c r="J32" i="91"/>
  <c r="D60" i="90"/>
  <c r="K63" i="14"/>
  <c r="E410" i="94"/>
  <c r="E63" i="14"/>
  <c r="B61" i="16"/>
  <c r="F58" i="16"/>
  <c r="F61" i="16"/>
  <c r="F65" i="46"/>
  <c r="F66" i="46"/>
  <c r="B66" i="46"/>
  <c r="F14" i="51"/>
  <c r="D57" i="50"/>
  <c r="C14" i="51"/>
  <c r="H30" i="63"/>
  <c r="H43" i="63"/>
  <c r="D15" i="79"/>
  <c r="M44" i="47"/>
  <c r="AC18" i="100"/>
  <c r="AK18" i="100"/>
  <c r="D63" i="47"/>
  <c r="D415" i="94"/>
  <c r="M128" i="94"/>
  <c r="M992" i="94"/>
  <c r="F23" i="83"/>
  <c r="K15" i="101"/>
  <c r="D59" i="82"/>
  <c r="D13" i="82"/>
  <c r="B19" i="86"/>
  <c r="F19" i="86"/>
  <c r="J19" i="86"/>
  <c r="M390" i="94"/>
  <c r="O17" i="80"/>
  <c r="L63" i="14"/>
  <c r="D245" i="94"/>
  <c r="F1022" i="94"/>
  <c r="D38" i="57"/>
  <c r="E88" i="57"/>
  <c r="M886" i="94"/>
  <c r="M1067" i="94"/>
  <c r="F91" i="87"/>
  <c r="F555" i="94"/>
  <c r="M791" i="94"/>
  <c r="G14" i="98"/>
  <c r="G12" i="80"/>
  <c r="O12" i="80"/>
  <c r="F18" i="73"/>
  <c r="C46" i="26"/>
  <c r="C14" i="26"/>
  <c r="R12" i="99"/>
  <c r="K6" i="65"/>
  <c r="K54" i="65"/>
  <c r="C8" i="57"/>
  <c r="C42" i="26"/>
  <c r="E9" i="63"/>
  <c r="I7" i="64"/>
  <c r="C47" i="26"/>
  <c r="C43" i="26"/>
  <c r="C13" i="26"/>
  <c r="J35" i="26"/>
  <c r="G98" i="47"/>
  <c r="G937" i="94"/>
  <c r="G858" i="94"/>
  <c r="F49" i="46"/>
  <c r="K49" i="46"/>
  <c r="N49" i="46"/>
  <c r="K118" i="63"/>
  <c r="K132" i="63"/>
  <c r="D108" i="45"/>
  <c r="L11" i="74"/>
  <c r="M446" i="94"/>
  <c r="S11" i="65"/>
  <c r="Y75" i="92"/>
  <c r="Y77" i="92"/>
  <c r="Y78" i="92"/>
  <c r="J16" i="81"/>
  <c r="X77" i="92"/>
  <c r="Q18" i="65"/>
  <c r="L413" i="94"/>
  <c r="L63" i="62"/>
  <c r="X38" i="92"/>
  <c r="X27" i="62"/>
  <c r="B13" i="65"/>
  <c r="E19" i="65"/>
  <c r="D20" i="65"/>
  <c r="F564" i="94"/>
  <c r="F91" i="62"/>
  <c r="E415" i="94"/>
  <c r="E63" i="47"/>
  <c r="M324" i="94"/>
  <c r="M1008" i="94"/>
  <c r="D63" i="90"/>
  <c r="F35" i="91"/>
  <c r="J35" i="91"/>
  <c r="J38" i="91" s="1"/>
  <c r="K21" i="73" s="1"/>
  <c r="X27" i="84"/>
  <c r="E45" i="91"/>
  <c r="E54" i="91"/>
  <c r="D113" i="90"/>
  <c r="D39" i="83"/>
  <c r="D68" i="83"/>
  <c r="I402" i="94"/>
  <c r="E18" i="65"/>
  <c r="B18" i="65"/>
  <c r="B81" i="65"/>
  <c r="Q14" i="65"/>
  <c r="B61" i="46"/>
  <c r="F57" i="46"/>
  <c r="F61" i="46"/>
  <c r="H100" i="63"/>
  <c r="F42" i="63"/>
  <c r="M132" i="63"/>
  <c r="B39" i="65"/>
  <c r="D44" i="65"/>
  <c r="D11" i="103"/>
  <c r="G410" i="94"/>
  <c r="G63" i="14"/>
  <c r="E45" i="46"/>
  <c r="F45" i="46"/>
  <c r="D113" i="45"/>
  <c r="G118" i="63"/>
  <c r="G132" i="63"/>
  <c r="I57" i="63"/>
  <c r="E26" i="41"/>
  <c r="D15" i="40"/>
  <c r="D66" i="40"/>
  <c r="F53" i="83"/>
  <c r="K53" i="83"/>
  <c r="O53" i="83"/>
  <c r="D112" i="82"/>
  <c r="D560" i="94"/>
  <c r="D91" i="92"/>
  <c r="G402" i="94"/>
  <c r="M399" i="94"/>
  <c r="M402" i="94" s="1"/>
  <c r="B31" i="57" s="1"/>
  <c r="F31" i="57" s="1"/>
  <c r="B19" i="51"/>
  <c r="F36" i="91"/>
  <c r="J36" i="91"/>
  <c r="D64" i="90"/>
  <c r="L405" i="94"/>
  <c r="L63" i="22"/>
  <c r="D66" i="35"/>
  <c r="I56" i="63"/>
  <c r="E26" i="36"/>
  <c r="G82" i="63"/>
  <c r="G95" i="63"/>
  <c r="F35" i="21"/>
  <c r="J35" i="21"/>
  <c r="D63" i="20"/>
  <c r="F35" i="83"/>
  <c r="J35" i="83"/>
  <c r="D63" i="82"/>
  <c r="J14" i="26"/>
  <c r="I58" i="65"/>
  <c r="B58" i="65"/>
  <c r="L15" i="65"/>
  <c r="D42" i="103"/>
  <c r="F42" i="41"/>
  <c r="D102" i="40"/>
  <c r="C42" i="41"/>
  <c r="B54" i="41"/>
  <c r="D117" i="63"/>
  <c r="E45" i="36"/>
  <c r="F45" i="36"/>
  <c r="G116" i="63"/>
  <c r="D113" i="35"/>
  <c r="H411" i="94"/>
  <c r="H63" i="42"/>
  <c r="M633" i="94"/>
  <c r="B19" i="83"/>
  <c r="M400" i="94"/>
  <c r="X35" i="87"/>
  <c r="J22" i="74"/>
  <c r="X35" i="22"/>
  <c r="J13" i="74"/>
  <c r="F35" i="46"/>
  <c r="J35" i="46"/>
  <c r="D63" i="45"/>
  <c r="G87" i="63"/>
  <c r="G100" i="63"/>
  <c r="X43" i="84"/>
  <c r="M80" i="94"/>
  <c r="D557" i="94"/>
  <c r="D91" i="27"/>
  <c r="E56" i="65"/>
  <c r="B56" i="65"/>
  <c r="I64" i="63"/>
  <c r="M232" i="94"/>
  <c r="M1000" i="94"/>
  <c r="I11" i="65"/>
  <c r="H67" i="65"/>
  <c r="H68" i="65"/>
  <c r="B63" i="65"/>
  <c r="F67" i="65"/>
  <c r="F68" i="65"/>
  <c r="B64" i="65"/>
  <c r="R73" i="65"/>
  <c r="D108" i="15"/>
  <c r="K112" i="63"/>
  <c r="F49" i="16"/>
  <c r="K49" i="16"/>
  <c r="N49" i="16"/>
  <c r="D111" i="25"/>
  <c r="F52" i="26"/>
  <c r="K52" i="26"/>
  <c r="O52" i="26"/>
  <c r="C52" i="26"/>
  <c r="N114" i="63"/>
  <c r="D402" i="94"/>
  <c r="B83" i="65"/>
  <c r="L60" i="65"/>
  <c r="L61" i="65"/>
  <c r="F23" i="36"/>
  <c r="D59" i="35"/>
  <c r="D13" i="35"/>
  <c r="H56" i="63"/>
  <c r="F53" i="26"/>
  <c r="K53" i="26"/>
  <c r="O53" i="26"/>
  <c r="D112" i="25"/>
  <c r="O114" i="63"/>
  <c r="J557" i="94"/>
  <c r="J91" i="27"/>
  <c r="Y75" i="84"/>
  <c r="Y77" i="84"/>
  <c r="Y78" i="84"/>
  <c r="J14" i="81"/>
  <c r="X77" i="84"/>
  <c r="O22" i="80"/>
  <c r="M925" i="94"/>
  <c r="M1070" i="94" s="1"/>
  <c r="I410" i="94"/>
  <c r="I63" i="14"/>
  <c r="F23" i="46"/>
  <c r="K13" i="101"/>
  <c r="D59" i="45"/>
  <c r="H58" i="63"/>
  <c r="H71" i="63"/>
  <c r="D13" i="45"/>
  <c r="E44" i="51"/>
  <c r="E54" i="51"/>
  <c r="F119" i="63"/>
  <c r="D104" i="50"/>
  <c r="B54" i="51"/>
  <c r="F48" i="41"/>
  <c r="D107" i="40"/>
  <c r="J117" i="63"/>
  <c r="J131" i="63"/>
  <c r="C48" i="41"/>
  <c r="I405" i="94"/>
  <c r="I63" i="22"/>
  <c r="E26" i="21"/>
  <c r="F26" i="21"/>
  <c r="D66" i="20"/>
  <c r="I53" i="63"/>
  <c r="I66" i="63"/>
  <c r="D54" i="45"/>
  <c r="F11" i="46"/>
  <c r="J11" i="46"/>
  <c r="E29" i="63"/>
  <c r="E42" i="63"/>
  <c r="C11" i="46"/>
  <c r="I564" i="94"/>
  <c r="I91" i="62"/>
  <c r="Y77" i="87"/>
  <c r="Y78" i="87"/>
  <c r="J15" i="81"/>
  <c r="Y48" i="22"/>
  <c r="L13" i="74"/>
  <c r="Q13" i="65"/>
  <c r="P15" i="65"/>
  <c r="D60" i="103"/>
  <c r="F33" i="86"/>
  <c r="J33" i="86"/>
  <c r="D61" i="85"/>
  <c r="W10" i="65"/>
  <c r="W15" i="65" s="1"/>
  <c r="V15" i="65"/>
  <c r="D87" i="103"/>
  <c r="D65" i="85"/>
  <c r="F37" i="86"/>
  <c r="J37" i="86"/>
  <c r="F849" i="94"/>
  <c r="F98" i="27"/>
  <c r="F928" i="94"/>
  <c r="D72" i="26"/>
  <c r="D77" i="26"/>
  <c r="D80" i="26"/>
  <c r="H560" i="94"/>
  <c r="F32" i="36"/>
  <c r="D60" i="35"/>
  <c r="B38" i="36"/>
  <c r="D14" i="35"/>
  <c r="D85" i="63"/>
  <c r="Y75" i="47"/>
  <c r="Y77" i="47"/>
  <c r="Y78" i="47"/>
  <c r="J12" i="81"/>
  <c r="X77" i="47"/>
  <c r="V60" i="65"/>
  <c r="V61" i="65"/>
  <c r="W48" i="65"/>
  <c r="D15" i="90"/>
  <c r="D67" i="90"/>
  <c r="E29" i="91"/>
  <c r="F29" i="91"/>
  <c r="I14" i="65"/>
  <c r="I7" i="65"/>
  <c r="I18" i="65"/>
  <c r="I53" i="65"/>
  <c r="I13" i="65"/>
  <c r="I15" i="65" s="1"/>
  <c r="I56" i="65"/>
  <c r="F65" i="91"/>
  <c r="F66" i="91"/>
  <c r="B66" i="91"/>
  <c r="E52" i="63"/>
  <c r="C19" i="16"/>
  <c r="I408" i="94"/>
  <c r="I63" i="32"/>
  <c r="D106" i="45"/>
  <c r="C47" i="46"/>
  <c r="I118" i="63"/>
  <c r="I132" i="63"/>
  <c r="F47" i="46"/>
  <c r="K47" i="46"/>
  <c r="M47" i="46"/>
  <c r="M54" i="46"/>
  <c r="M56" i="46"/>
  <c r="N13" i="73"/>
  <c r="X47" i="14"/>
  <c r="M11" i="74"/>
  <c r="S22" i="65"/>
  <c r="S56" i="65"/>
  <c r="S7" i="65"/>
  <c r="S13" i="65"/>
  <c r="S15" i="65" s="1"/>
  <c r="E69" i="103" s="1"/>
  <c r="S54" i="65"/>
  <c r="F58" i="31"/>
  <c r="F61" i="31"/>
  <c r="B61" i="31"/>
  <c r="Q22" i="65"/>
  <c r="D113" i="82"/>
  <c r="E45" i="83"/>
  <c r="F45" i="83"/>
  <c r="D113" i="30"/>
  <c r="G115" i="63"/>
  <c r="E45" i="31"/>
  <c r="F45" i="31"/>
  <c r="N44" i="65"/>
  <c r="D56" i="103"/>
  <c r="M82" i="94"/>
  <c r="F14" i="86"/>
  <c r="J14" i="86"/>
  <c r="D57" i="85"/>
  <c r="L24" i="97"/>
  <c r="M397" i="94"/>
  <c r="B19" i="41"/>
  <c r="X27" i="37"/>
  <c r="D51" i="16"/>
  <c r="D54" i="16"/>
  <c r="D110" i="15"/>
  <c r="M112" i="63"/>
  <c r="F43" i="2"/>
  <c r="E111" i="63"/>
  <c r="B54" i="2"/>
  <c r="D103" i="1"/>
  <c r="C43" i="2"/>
  <c r="D112" i="45"/>
  <c r="O118" i="63"/>
  <c r="O132" i="63"/>
  <c r="F53" i="46"/>
  <c r="K53" i="46"/>
  <c r="O53" i="46"/>
  <c r="I86" i="63"/>
  <c r="I99" i="63"/>
  <c r="F37" i="41"/>
  <c r="J37" i="41"/>
  <c r="D65" i="40"/>
  <c r="M84" i="94"/>
  <c r="U22" i="97"/>
  <c r="F14" i="41"/>
  <c r="J14" i="41"/>
  <c r="H28" i="63"/>
  <c r="H41" i="63"/>
  <c r="C14" i="41"/>
  <c r="C15" i="41"/>
  <c r="F12" i="63" s="1"/>
  <c r="H12" i="63" s="1"/>
  <c r="D57" i="40"/>
  <c r="R30" i="84"/>
  <c r="R30" i="37"/>
  <c r="D62" i="90"/>
  <c r="F34" i="91"/>
  <c r="J34" i="91"/>
  <c r="M77" i="94"/>
  <c r="C50" i="2"/>
  <c r="L111" i="63"/>
  <c r="F50" i="2"/>
  <c r="K50" i="2"/>
  <c r="M50" i="2"/>
  <c r="M54" i="2"/>
  <c r="M56" i="2"/>
  <c r="N19" i="73" s="1"/>
  <c r="D109" i="1"/>
  <c r="F50" i="26"/>
  <c r="C50" i="26"/>
  <c r="L114" i="63"/>
  <c r="D109" i="25"/>
  <c r="D103" i="30"/>
  <c r="E115" i="63"/>
  <c r="F43" i="31"/>
  <c r="B55" i="65"/>
  <c r="T15" i="65"/>
  <c r="D78" i="103"/>
  <c r="E26" i="83"/>
  <c r="F26" i="83"/>
  <c r="D66" i="82"/>
  <c r="D107" i="90"/>
  <c r="F48" i="91"/>
  <c r="E25" i="63"/>
  <c r="C11" i="26"/>
  <c r="D54" i="25"/>
  <c r="F11" i="26"/>
  <c r="J11" i="26"/>
  <c r="K91" i="22"/>
  <c r="K556" i="94"/>
  <c r="F49" i="91"/>
  <c r="K49" i="91"/>
  <c r="N49" i="91"/>
  <c r="D108" i="90"/>
  <c r="J559" i="94"/>
  <c r="J91" i="32"/>
  <c r="Q54" i="65"/>
  <c r="J402" i="94"/>
  <c r="X60" i="65"/>
  <c r="X61" i="65"/>
  <c r="E77" i="46"/>
  <c r="E80" i="46"/>
  <c r="D102" i="90"/>
  <c r="F42" i="91"/>
  <c r="I42" i="91"/>
  <c r="H20" i="102" s="1"/>
  <c r="B54" i="91"/>
  <c r="F411" i="94"/>
  <c r="F63" i="42"/>
  <c r="D60" i="30"/>
  <c r="B38" i="31"/>
  <c r="D14" i="30"/>
  <c r="F32" i="31"/>
  <c r="D84" i="63"/>
  <c r="D17" i="79"/>
  <c r="D414" i="94"/>
  <c r="M44" i="84"/>
  <c r="AC20" i="100"/>
  <c r="AK20" i="100"/>
  <c r="D63" i="84"/>
  <c r="M389" i="94"/>
  <c r="M1013" i="94" s="1"/>
  <c r="B71" i="65"/>
  <c r="F72" i="65"/>
  <c r="F73" i="65"/>
  <c r="M243" i="94"/>
  <c r="B18" i="83"/>
  <c r="Q36" i="92"/>
  <c r="G16" i="81"/>
  <c r="E77" i="36"/>
  <c r="E80" i="36"/>
  <c r="D67" i="82"/>
  <c r="E29" i="83"/>
  <c r="F29" i="83"/>
  <c r="D15" i="82"/>
  <c r="J11" i="2"/>
  <c r="G11" i="2"/>
  <c r="H10" i="101"/>
  <c r="N11" i="80"/>
  <c r="O11" i="80"/>
  <c r="F61" i="2"/>
  <c r="M239" i="94"/>
  <c r="B18" i="2"/>
  <c r="E77" i="31"/>
  <c r="E80" i="31"/>
  <c r="F43" i="21"/>
  <c r="C43" i="21"/>
  <c r="E113" i="63"/>
  <c r="E127" i="63"/>
  <c r="D103" i="20"/>
  <c r="F46" i="16"/>
  <c r="H112" i="63"/>
  <c r="B54" i="16"/>
  <c r="C46" i="16"/>
  <c r="D105" i="15"/>
  <c r="F48" i="26"/>
  <c r="B54" i="26"/>
  <c r="C48" i="26"/>
  <c r="C54" i="26" s="1"/>
  <c r="J114" i="63"/>
  <c r="D107" i="25"/>
  <c r="I52" i="65"/>
  <c r="V24" i="65"/>
  <c r="F14" i="36"/>
  <c r="D57" i="35"/>
  <c r="H27" i="63"/>
  <c r="B15" i="36"/>
  <c r="B66" i="65"/>
  <c r="D67" i="20"/>
  <c r="D15" i="20"/>
  <c r="E29" i="21"/>
  <c r="F29" i="21"/>
  <c r="J53" i="63"/>
  <c r="B18" i="36"/>
  <c r="M241" i="94"/>
  <c r="M75" i="94"/>
  <c r="F36" i="36"/>
  <c r="D64" i="35"/>
  <c r="H85" i="63"/>
  <c r="F48" i="31"/>
  <c r="J115" i="63"/>
  <c r="D107" i="30"/>
  <c r="B18" i="51"/>
  <c r="M242" i="94"/>
  <c r="M245" i="94" s="1"/>
  <c r="B30" i="57" s="1"/>
  <c r="F30" i="57" s="1"/>
  <c r="F32" i="57" s="1"/>
  <c r="J22" i="101" s="1"/>
  <c r="C42" i="21"/>
  <c r="B54" i="21"/>
  <c r="D102" i="20"/>
  <c r="D113" i="63"/>
  <c r="F42" i="21"/>
  <c r="K57" i="57"/>
  <c r="I10" i="65"/>
  <c r="H15" i="65"/>
  <c r="D24" i="103"/>
  <c r="F10" i="26"/>
  <c r="B15" i="26"/>
  <c r="D25" i="63"/>
  <c r="C10" i="26"/>
  <c r="C15" i="26" s="1"/>
  <c r="D53" i="25"/>
  <c r="X43" i="92"/>
  <c r="E51" i="63"/>
  <c r="G80" i="63"/>
  <c r="F35" i="2"/>
  <c r="J35" i="2"/>
  <c r="D63" i="1"/>
  <c r="B19" i="21"/>
  <c r="M391" i="94"/>
  <c r="F59" i="26"/>
  <c r="F61" i="26"/>
  <c r="B61" i="26"/>
  <c r="K412" i="94"/>
  <c r="K63" i="37"/>
  <c r="C10" i="51"/>
  <c r="F10" i="51"/>
  <c r="D53" i="50"/>
  <c r="D30" i="63"/>
  <c r="B15" i="51"/>
  <c r="H63" i="87"/>
  <c r="H404" i="94"/>
  <c r="D41" i="57"/>
  <c r="F1025" i="94"/>
  <c r="P44" i="65"/>
  <c r="D65" i="103"/>
  <c r="B51" i="65"/>
  <c r="D102" i="30"/>
  <c r="F42" i="31"/>
  <c r="B54" i="31"/>
  <c r="D115" i="63"/>
  <c r="J91" i="62"/>
  <c r="J564" i="94"/>
  <c r="F46" i="83"/>
  <c r="D105" i="82"/>
  <c r="C46" i="83"/>
  <c r="D64" i="85"/>
  <c r="F36" i="86"/>
  <c r="J36" i="86"/>
  <c r="G11" i="91"/>
  <c r="J87" i="94"/>
  <c r="K557" i="94"/>
  <c r="K91" i="27"/>
  <c r="L91" i="32"/>
  <c r="L559" i="94"/>
  <c r="X47" i="32"/>
  <c r="M15" i="74"/>
  <c r="E26" i="86"/>
  <c r="D66" i="85"/>
  <c r="F64" i="31"/>
  <c r="F66" i="31"/>
  <c r="B66" i="31"/>
  <c r="E45" i="21"/>
  <c r="F45" i="21"/>
  <c r="D113" i="20"/>
  <c r="G113" i="63"/>
  <c r="G127" i="63"/>
  <c r="R24" i="97"/>
  <c r="F34" i="86"/>
  <c r="J34" i="86"/>
  <c r="D62" i="85"/>
  <c r="B53" i="65"/>
  <c r="B40" i="65"/>
  <c r="M154" i="94"/>
  <c r="M994" i="94" s="1"/>
  <c r="D102" i="85"/>
  <c r="B54" i="86"/>
  <c r="F42" i="86"/>
  <c r="I42" i="86"/>
  <c r="H21" i="102"/>
  <c r="J56" i="63"/>
  <c r="D15" i="35"/>
  <c r="D67" i="35"/>
  <c r="E29" i="36"/>
  <c r="F29" i="36"/>
  <c r="D112" i="20"/>
  <c r="F53" i="21"/>
  <c r="K53" i="21"/>
  <c r="O53" i="21"/>
  <c r="O113" i="63"/>
  <c r="F37" i="36"/>
  <c r="D65" i="35"/>
  <c r="I85" i="63"/>
  <c r="D57" i="90"/>
  <c r="F14" i="91"/>
  <c r="D64" i="82"/>
  <c r="F36" i="83"/>
  <c r="J36" i="83"/>
  <c r="M363" i="94"/>
  <c r="M1011" i="94"/>
  <c r="Y77" i="22"/>
  <c r="Y78" i="22"/>
  <c r="J7" i="81"/>
  <c r="D64" i="20"/>
  <c r="H82" i="63"/>
  <c r="F36" i="21"/>
  <c r="J36" i="21"/>
  <c r="J411" i="94"/>
  <c r="J63" i="42"/>
  <c r="Q56" i="65"/>
  <c r="Q11" i="65"/>
  <c r="Q7" i="65"/>
  <c r="Q49" i="65"/>
  <c r="Q10" i="65"/>
  <c r="Q58" i="65"/>
  <c r="Q52" i="65"/>
  <c r="E411" i="94"/>
  <c r="E63" i="42"/>
  <c r="D13" i="30"/>
  <c r="H55" i="63"/>
  <c r="D59" i="30"/>
  <c r="F23" i="31"/>
  <c r="F35" i="31"/>
  <c r="G84" i="63"/>
  <c r="D63" i="30"/>
  <c r="M376" i="94"/>
  <c r="M1012" i="94" s="1"/>
  <c r="F35" i="36"/>
  <c r="G85" i="63"/>
  <c r="D63" i="35"/>
  <c r="D104" i="45"/>
  <c r="F118" i="63"/>
  <c r="F132" i="63"/>
  <c r="E44" i="46"/>
  <c r="F44" i="46"/>
  <c r="H44" i="65"/>
  <c r="D29" i="103"/>
  <c r="B38" i="65"/>
  <c r="D61" i="45"/>
  <c r="E87" i="63"/>
  <c r="E100" i="63"/>
  <c r="F33" i="46"/>
  <c r="J33" i="46"/>
  <c r="D109" i="82"/>
  <c r="F50" i="83"/>
  <c r="K50" i="83"/>
  <c r="M50" i="83"/>
  <c r="M54" i="83"/>
  <c r="M56" i="83"/>
  <c r="N20" i="73" s="1"/>
  <c r="C50" i="83"/>
  <c r="Z44" i="65"/>
  <c r="D110" i="103"/>
  <c r="B42" i="65"/>
  <c r="X22" i="32"/>
  <c r="G15" i="74"/>
  <c r="B18" i="41"/>
  <c r="M240" i="94"/>
  <c r="J24" i="97"/>
  <c r="F13" i="31"/>
  <c r="G26" i="63"/>
  <c r="D56" i="30"/>
  <c r="I117" i="63"/>
  <c r="I131" i="63"/>
  <c r="D106" i="40"/>
  <c r="F47" i="41"/>
  <c r="C47" i="41"/>
  <c r="I22" i="65"/>
  <c r="B19" i="91"/>
  <c r="F19" i="91"/>
  <c r="J19" i="91"/>
  <c r="M395" i="94"/>
  <c r="F52" i="83"/>
  <c r="K52" i="83"/>
  <c r="O52" i="83"/>
  <c r="D111" i="82"/>
  <c r="C52" i="83"/>
  <c r="D16" i="79"/>
  <c r="D63" i="62"/>
  <c r="M44" i="62"/>
  <c r="D413" i="94"/>
  <c r="V20" i="65"/>
  <c r="E26" i="63"/>
  <c r="D54" i="30"/>
  <c r="F11" i="31"/>
  <c r="B15" i="31"/>
  <c r="X27" i="32"/>
  <c r="D65" i="82"/>
  <c r="F37" i="83"/>
  <c r="J37" i="83"/>
  <c r="X30" i="62"/>
  <c r="I19" i="74"/>
  <c r="D112" i="30"/>
  <c r="F53" i="31"/>
  <c r="K53" i="31"/>
  <c r="O53" i="31"/>
  <c r="O54" i="31"/>
  <c r="O115" i="63"/>
  <c r="K415" i="94"/>
  <c r="K63" i="47"/>
  <c r="J15" i="65"/>
  <c r="D33" i="103"/>
  <c r="B41" i="65"/>
  <c r="F57" i="21"/>
  <c r="F61" i="21"/>
  <c r="B61" i="21"/>
  <c r="D104" i="35"/>
  <c r="F116" i="63"/>
  <c r="E44" i="36"/>
  <c r="D51" i="41"/>
  <c r="D54" i="41"/>
  <c r="D68" i="41"/>
  <c r="D110" i="40"/>
  <c r="M117" i="63"/>
  <c r="M131" i="63"/>
  <c r="H402" i="94"/>
  <c r="E45" i="2"/>
  <c r="D113" i="1"/>
  <c r="G111" i="63"/>
  <c r="F84" i="63"/>
  <c r="D62" i="30"/>
  <c r="F34" i="31"/>
  <c r="H33" i="65"/>
  <c r="B32" i="65"/>
  <c r="D65" i="1"/>
  <c r="F37" i="2"/>
  <c r="J37" i="2"/>
  <c r="I80" i="63"/>
  <c r="D13" i="79"/>
  <c r="M44" i="37"/>
  <c r="AC16" i="100"/>
  <c r="AK16" i="100"/>
  <c r="D412" i="94"/>
  <c r="D63" i="37"/>
  <c r="M832" i="94"/>
  <c r="Y75" i="32"/>
  <c r="Y77" i="32"/>
  <c r="Y78" i="32"/>
  <c r="J9" i="81"/>
  <c r="X77" i="32"/>
  <c r="X30" i="22"/>
  <c r="I13" i="74"/>
  <c r="Q53" i="65"/>
  <c r="F560" i="94"/>
  <c r="F91" i="92"/>
  <c r="M11" i="97"/>
  <c r="G24" i="97"/>
  <c r="D51" i="91"/>
  <c r="D54" i="91"/>
  <c r="D110" i="90"/>
  <c r="M912" i="94"/>
  <c r="M1069" i="94" s="1"/>
  <c r="X30" i="32"/>
  <c r="I15" i="74"/>
  <c r="D15" i="30"/>
  <c r="J55" i="63"/>
  <c r="E29" i="31"/>
  <c r="F29" i="31"/>
  <c r="D67" i="30"/>
  <c r="D67" i="45"/>
  <c r="J58" i="63"/>
  <c r="D15" i="45"/>
  <c r="E29" i="46"/>
  <c r="F29" i="46"/>
  <c r="Z16" i="65"/>
  <c r="M234" i="94"/>
  <c r="B18" i="21"/>
  <c r="D8" i="79"/>
  <c r="D63" i="14"/>
  <c r="M44" i="14"/>
  <c r="AC11" i="100"/>
  <c r="D410" i="94"/>
  <c r="F415" i="94"/>
  <c r="F63" i="47"/>
  <c r="G52" i="65"/>
  <c r="F60" i="65"/>
  <c r="F61" i="65"/>
  <c r="B52" i="65"/>
  <c r="J60" i="65"/>
  <c r="J61" i="65"/>
  <c r="F44" i="91"/>
  <c r="G22" i="65"/>
  <c r="G7" i="65"/>
  <c r="G18" i="65"/>
  <c r="G48" i="65"/>
  <c r="G49" i="65"/>
  <c r="G58" i="65"/>
  <c r="G56" i="65"/>
  <c r="G11" i="65"/>
  <c r="G14" i="65"/>
  <c r="G54" i="65"/>
  <c r="G13" i="65"/>
  <c r="M81" i="94"/>
  <c r="M193" i="94"/>
  <c r="M997" i="94" s="1"/>
  <c r="U15" i="97"/>
  <c r="P24" i="97"/>
  <c r="L63" i="42"/>
  <c r="L411" i="94"/>
  <c r="D65" i="20"/>
  <c r="I82" i="63"/>
  <c r="I95" i="63"/>
  <c r="F37" i="21"/>
  <c r="J37" i="21"/>
  <c r="E402" i="94"/>
  <c r="E87" i="94"/>
  <c r="K91" i="17"/>
  <c r="K558" i="94"/>
  <c r="D35" i="68"/>
  <c r="E845" i="94"/>
  <c r="Q35" i="32"/>
  <c r="Q36" i="32"/>
  <c r="G9" i="81"/>
  <c r="I414" i="94"/>
  <c r="I63" i="84"/>
  <c r="H63" i="22"/>
  <c r="H405" i="94"/>
  <c r="M44" i="22"/>
  <c r="AC13" i="100"/>
  <c r="AK13" i="100"/>
  <c r="D405" i="94"/>
  <c r="D10" i="79"/>
  <c r="I54" i="65"/>
  <c r="H12" i="74"/>
  <c r="X31" i="17"/>
  <c r="M778" i="94"/>
  <c r="F405" i="94"/>
  <c r="F63" i="22"/>
  <c r="E77" i="83"/>
  <c r="E80" i="83"/>
  <c r="J13" i="83"/>
  <c r="G14" i="83"/>
  <c r="I15" i="101"/>
  <c r="D51" i="86"/>
  <c r="D54" i="86"/>
  <c r="D110" i="85"/>
  <c r="L402" i="94"/>
  <c r="D60" i="40"/>
  <c r="F32" i="41"/>
  <c r="D86" i="63"/>
  <c r="B38" i="41"/>
  <c r="D14" i="40"/>
  <c r="K18" i="74"/>
  <c r="F34" i="51"/>
  <c r="F88" i="63"/>
  <c r="D62" i="50"/>
  <c r="B38" i="51"/>
  <c r="D14" i="50"/>
  <c r="U20" i="97"/>
  <c r="W20" i="97"/>
  <c r="M337" i="94"/>
  <c r="M1009" i="94"/>
  <c r="B15" i="91"/>
  <c r="M819" i="94"/>
  <c r="N60" i="65"/>
  <c r="N61" i="65"/>
  <c r="G91" i="22"/>
  <c r="G556" i="94"/>
  <c r="L72" i="65"/>
  <c r="L73" i="65"/>
  <c r="E77" i="21"/>
  <c r="E80" i="21"/>
  <c r="B11" i="65"/>
  <c r="B43" i="65"/>
  <c r="D62" i="20"/>
  <c r="F34" i="21"/>
  <c r="J34" i="21"/>
  <c r="F82" i="63"/>
  <c r="D57" i="45"/>
  <c r="H29" i="63"/>
  <c r="H42" i="63"/>
  <c r="C14" i="46"/>
  <c r="F14" i="46"/>
  <c r="D408" i="94"/>
  <c r="M44" i="32"/>
  <c r="AC15" i="100"/>
  <c r="AK15" i="100"/>
  <c r="D63" i="32"/>
  <c r="D12" i="79"/>
  <c r="M581" i="94"/>
  <c r="H53" i="63"/>
  <c r="D13" i="20"/>
  <c r="F23" i="21"/>
  <c r="K16" i="101"/>
  <c r="D59" i="20"/>
  <c r="F52" i="46"/>
  <c r="K52" i="46"/>
  <c r="O52" i="46"/>
  <c r="D111" i="45"/>
  <c r="C52" i="46"/>
  <c r="N118" i="63"/>
  <c r="N132" i="63"/>
  <c r="F64" i="26"/>
  <c r="F66" i="26"/>
  <c r="B66" i="26"/>
  <c r="D51" i="26"/>
  <c r="D54" i="26"/>
  <c r="D68" i="26"/>
  <c r="M114" i="63"/>
  <c r="D110" i="25"/>
  <c r="E63" i="32"/>
  <c r="E408" i="94"/>
  <c r="R15" i="65"/>
  <c r="D69" i="103"/>
  <c r="S10" i="65"/>
  <c r="F64" i="41"/>
  <c r="F66" i="41"/>
  <c r="B66" i="41"/>
  <c r="D103" i="82"/>
  <c r="F43" i="83"/>
  <c r="C43" i="83"/>
  <c r="F15" i="65"/>
  <c r="D15" i="103"/>
  <c r="G10" i="65"/>
  <c r="G15" i="65" s="1"/>
  <c r="G16" i="65" s="1"/>
  <c r="M698" i="94"/>
  <c r="D411" i="94"/>
  <c r="M44" i="42"/>
  <c r="AC17" i="100"/>
  <c r="AK17" i="100"/>
  <c r="D63" i="42"/>
  <c r="D14" i="79"/>
  <c r="H13" i="74"/>
  <c r="K91" i="87"/>
  <c r="D56" i="85"/>
  <c r="F13" i="86"/>
  <c r="J13" i="86"/>
  <c r="J15" i="86" s="1"/>
  <c r="B15" i="86"/>
  <c r="Y39" i="42"/>
  <c r="F10" i="46"/>
  <c r="C10" i="46"/>
  <c r="B15" i="46"/>
  <c r="D53" i="45"/>
  <c r="D29" i="63"/>
  <c r="F32" i="86"/>
  <c r="J32" i="86"/>
  <c r="D60" i="85"/>
  <c r="B38" i="86"/>
  <c r="D14" i="85"/>
  <c r="S48" i="65"/>
  <c r="R60" i="65"/>
  <c r="R61" i="65"/>
  <c r="G408" i="94"/>
  <c r="G63" i="32"/>
  <c r="D404" i="94"/>
  <c r="D19" i="79"/>
  <c r="M44" i="87"/>
  <c r="D63" i="87"/>
  <c r="M237" i="94"/>
  <c r="B18" i="31"/>
  <c r="F47" i="91"/>
  <c r="K47" i="91"/>
  <c r="M47" i="91"/>
  <c r="M54" i="91"/>
  <c r="D106" i="90"/>
  <c r="M16" i="97"/>
  <c r="W16" i="97" s="1"/>
  <c r="B38" i="46"/>
  <c r="D14" i="45"/>
  <c r="F32" i="46"/>
  <c r="D60" i="45"/>
  <c r="D87" i="63"/>
  <c r="R36" i="62"/>
  <c r="H13" i="81"/>
  <c r="X22" i="62"/>
  <c r="G19" i="74" s="1"/>
  <c r="R35" i="62"/>
  <c r="F86" i="63"/>
  <c r="F99" i="63"/>
  <c r="D62" i="40"/>
  <c r="F34" i="41"/>
  <c r="J34" i="41"/>
  <c r="D737" i="94"/>
  <c r="M244" i="94"/>
  <c r="B18" i="46"/>
  <c r="I63" i="87"/>
  <c r="I404" i="94"/>
  <c r="X77" i="27"/>
  <c r="Y75" i="27"/>
  <c r="Y77" i="27"/>
  <c r="Y78" i="27"/>
  <c r="J8" i="81"/>
  <c r="R67" i="65"/>
  <c r="R68" i="65"/>
  <c r="D61" i="1"/>
  <c r="F33" i="2"/>
  <c r="E80" i="63"/>
  <c r="B38" i="2"/>
  <c r="D14" i="1"/>
  <c r="F65" i="16"/>
  <c r="F66" i="16"/>
  <c r="B66" i="16"/>
  <c r="E26" i="31"/>
  <c r="F26" i="31"/>
  <c r="D66" i="30"/>
  <c r="I55" i="63"/>
  <c r="I49" i="65"/>
  <c r="K19" i="74"/>
  <c r="F46" i="21"/>
  <c r="H113" i="63"/>
  <c r="H127" i="63"/>
  <c r="C46" i="21"/>
  <c r="D105" i="20"/>
  <c r="M115" i="94"/>
  <c r="M991" i="94" s="1"/>
  <c r="F36" i="31"/>
  <c r="D64" i="30"/>
  <c r="H84" i="63"/>
  <c r="I48" i="65"/>
  <c r="B48" i="65"/>
  <c r="H60" i="65"/>
  <c r="H61" i="65"/>
  <c r="E84" i="63"/>
  <c r="D61" i="30"/>
  <c r="F33" i="31"/>
  <c r="F10" i="21"/>
  <c r="C10" i="21"/>
  <c r="D53" i="20"/>
  <c r="D24" i="63"/>
  <c r="B15" i="21"/>
  <c r="S18" i="65"/>
  <c r="E24" i="63"/>
  <c r="F11" i="21"/>
  <c r="J11" i="21"/>
  <c r="C11" i="21"/>
  <c r="D54" i="20"/>
  <c r="B19" i="46"/>
  <c r="M401" i="94"/>
  <c r="F33" i="83"/>
  <c r="J33" i="83"/>
  <c r="D61" i="82"/>
  <c r="B14" i="65"/>
  <c r="K409" i="94"/>
  <c r="K63" i="92"/>
  <c r="H63" i="14"/>
  <c r="H410" i="94"/>
  <c r="M13" i="97"/>
  <c r="B49" i="65"/>
  <c r="E49" i="65"/>
  <c r="D60" i="65"/>
  <c r="D61" i="65"/>
  <c r="I412" i="94"/>
  <c r="I63" i="37"/>
  <c r="M398" i="94"/>
  <c r="B19" i="36"/>
  <c r="B70" i="65"/>
  <c r="H72" i="65"/>
  <c r="H73" i="65"/>
  <c r="I24" i="97"/>
  <c r="D556" i="94"/>
  <c r="D91" i="22"/>
  <c r="L91" i="27"/>
  <c r="D69" i="57"/>
  <c r="F1053" i="94"/>
  <c r="D13" i="85"/>
  <c r="D59" i="85"/>
  <c r="F23" i="86"/>
  <c r="L44" i="65"/>
  <c r="D47" i="103"/>
  <c r="D55" i="57"/>
  <c r="F1039" i="94"/>
  <c r="B66" i="21"/>
  <c r="F64" i="21"/>
  <c r="F66" i="21"/>
  <c r="X27" i="47"/>
  <c r="H30" i="65"/>
  <c r="B29" i="65"/>
  <c r="J245" i="94"/>
  <c r="M76" i="94"/>
  <c r="M63" i="22"/>
  <c r="M556" i="94"/>
  <c r="S58" i="65"/>
  <c r="J405" i="94"/>
  <c r="J63" i="22"/>
  <c r="F1029" i="94"/>
  <c r="B59" i="65"/>
  <c r="F44" i="86"/>
  <c r="D804" i="94"/>
  <c r="D111" i="90"/>
  <c r="F52" i="91"/>
  <c r="K52" i="91"/>
  <c r="O52" i="91"/>
  <c r="O54" i="91"/>
  <c r="R36" i="92"/>
  <c r="H16" i="81"/>
  <c r="R35" i="92"/>
  <c r="K24" i="97"/>
  <c r="F1031" i="94"/>
  <c r="Q36" i="22"/>
  <c r="G7" i="81"/>
  <c r="Q35" i="22"/>
  <c r="M79" i="94"/>
  <c r="D110" i="20"/>
  <c r="M113" i="63"/>
  <c r="M127" i="63"/>
  <c r="D51" i="21"/>
  <c r="D54" i="21"/>
  <c r="T24" i="97"/>
  <c r="H412" i="94"/>
  <c r="H63" i="37"/>
  <c r="U21" i="97"/>
  <c r="E245" i="94"/>
  <c r="S49" i="65"/>
  <c r="X38" i="32"/>
  <c r="F33" i="21"/>
  <c r="J33" i="21"/>
  <c r="E82" i="63"/>
  <c r="E95" i="63"/>
  <c r="D61" i="20"/>
  <c r="Y77" i="17"/>
  <c r="Y78" i="17"/>
  <c r="J6" i="81"/>
  <c r="D59" i="40"/>
  <c r="H57" i="63"/>
  <c r="H70" i="63"/>
  <c r="F23" i="41"/>
  <c r="K12" i="101"/>
  <c r="D13" i="40"/>
  <c r="X43" i="37"/>
  <c r="M21" i="97"/>
  <c r="B22" i="65"/>
  <c r="S52" i="65"/>
  <c r="G845" i="94"/>
  <c r="J412" i="94"/>
  <c r="J63" i="37"/>
  <c r="B50" i="65"/>
  <c r="D554" i="94"/>
  <c r="D65" i="45"/>
  <c r="F37" i="46"/>
  <c r="J37" i="46"/>
  <c r="I87" i="63"/>
  <c r="I100" i="63"/>
  <c r="J414" i="94"/>
  <c r="J63" i="84"/>
  <c r="D101" i="63"/>
  <c r="D133" i="63"/>
  <c r="I133" i="63"/>
  <c r="I101" i="63"/>
  <c r="E133" i="63"/>
  <c r="E43" i="63"/>
  <c r="H72" i="63"/>
  <c r="F43" i="63"/>
  <c r="R35" i="42"/>
  <c r="R36" i="42"/>
  <c r="H11" i="81"/>
  <c r="X22" i="42"/>
  <c r="G17" i="74"/>
  <c r="U18" i="97"/>
  <c r="X22" i="17"/>
  <c r="G12" i="74"/>
  <c r="R35" i="17"/>
  <c r="R36" i="17"/>
  <c r="H6" i="81"/>
  <c r="C48" i="21"/>
  <c r="D107" i="20"/>
  <c r="J113" i="63"/>
  <c r="F48" i="21"/>
  <c r="E405" i="94"/>
  <c r="E63" i="22"/>
  <c r="J59" i="63"/>
  <c r="D67" i="50"/>
  <c r="D15" i="50"/>
  <c r="E29" i="51"/>
  <c r="E39" i="51" s="1"/>
  <c r="C42" i="83"/>
  <c r="F42" i="83"/>
  <c r="B54" i="83"/>
  <c r="D102" i="82"/>
  <c r="E77" i="91"/>
  <c r="E80" i="91"/>
  <c r="X47" i="87"/>
  <c r="M22" i="74"/>
  <c r="L404" i="94"/>
  <c r="L63" i="87"/>
  <c r="F37" i="63"/>
  <c r="K562" i="94"/>
  <c r="K91" i="42"/>
  <c r="M17" i="97"/>
  <c r="W17" i="97"/>
  <c r="D62" i="45"/>
  <c r="F87" i="63"/>
  <c r="F100" i="63"/>
  <c r="F34" i="46"/>
  <c r="J34" i="46"/>
  <c r="Z73" i="65"/>
  <c r="F64" i="86"/>
  <c r="F66" i="86"/>
  <c r="B66" i="86"/>
  <c r="H131" i="63"/>
  <c r="E131" i="63"/>
  <c r="J70" i="63"/>
  <c r="D41" i="63"/>
  <c r="I41" i="63" s="1"/>
  <c r="G99" i="63"/>
  <c r="F41" i="63"/>
  <c r="O131" i="63"/>
  <c r="K131" i="63"/>
  <c r="E41" i="63"/>
  <c r="L131" i="63"/>
  <c r="E116" i="63"/>
  <c r="F43" i="36"/>
  <c r="D103" i="35"/>
  <c r="B54" i="36"/>
  <c r="E44" i="31"/>
  <c r="F44" i="31"/>
  <c r="D104" i="30"/>
  <c r="F115" i="63"/>
  <c r="D58" i="57"/>
  <c r="F1042" i="94"/>
  <c r="S53" i="65"/>
  <c r="F32" i="83"/>
  <c r="B38" i="83"/>
  <c r="D14" i="82"/>
  <c r="D60" i="82"/>
  <c r="F410" i="94"/>
  <c r="F63" i="14"/>
  <c r="S14" i="65"/>
  <c r="M394" i="94"/>
  <c r="B19" i="31"/>
  <c r="L87" i="94"/>
  <c r="F51" i="41"/>
  <c r="Q35" i="17"/>
  <c r="I558" i="94"/>
  <c r="D68" i="2"/>
  <c r="F51" i="51"/>
  <c r="X31" i="92"/>
  <c r="E7" i="65"/>
  <c r="E10" i="65"/>
  <c r="E11" i="65"/>
  <c r="E54" i="65"/>
  <c r="E22" i="65"/>
  <c r="D117" i="103"/>
  <c r="E48" i="65"/>
  <c r="L22" i="98"/>
  <c r="K21" i="101"/>
  <c r="J23" i="86"/>
  <c r="J22" i="73" s="1"/>
  <c r="Y48" i="47"/>
  <c r="G14" i="91"/>
  <c r="I20" i="101"/>
  <c r="J14" i="91"/>
  <c r="K48" i="91"/>
  <c r="N48" i="91"/>
  <c r="N54" i="91"/>
  <c r="I48" i="91"/>
  <c r="J20" i="102"/>
  <c r="G40" i="26"/>
  <c r="I11" i="101"/>
  <c r="K46" i="86"/>
  <c r="L46" i="86"/>
  <c r="I46" i="86"/>
  <c r="I21" i="102"/>
  <c r="I53" i="86"/>
  <c r="K21" i="102" s="1"/>
  <c r="D120" i="103"/>
  <c r="L21" i="98"/>
  <c r="K20" i="101"/>
  <c r="J23" i="91"/>
  <c r="J21" i="73"/>
  <c r="X16" i="65"/>
  <c r="D96" i="103"/>
  <c r="E52" i="65"/>
  <c r="F18" i="26"/>
  <c r="E54" i="83"/>
  <c r="L15" i="98"/>
  <c r="K17" i="101"/>
  <c r="F20" i="86"/>
  <c r="J18" i="86"/>
  <c r="J20" i="86" s="1"/>
  <c r="H22" i="73" s="1"/>
  <c r="D16" i="65"/>
  <c r="D6" i="103"/>
  <c r="I53" i="91"/>
  <c r="K20" i="102"/>
  <c r="E53" i="65"/>
  <c r="K125" i="63"/>
  <c r="K46" i="91"/>
  <c r="L46" i="91"/>
  <c r="I46" i="91"/>
  <c r="I20" i="102"/>
  <c r="D54" i="63"/>
  <c r="N16" i="65"/>
  <c r="D51" i="103"/>
  <c r="W12" i="97"/>
  <c r="H35" i="63"/>
  <c r="K21" i="98"/>
  <c r="H20" i="101"/>
  <c r="I14" i="91"/>
  <c r="I11" i="91"/>
  <c r="Q36" i="27"/>
  <c r="G8" i="81"/>
  <c r="K17" i="98"/>
  <c r="H12" i="101"/>
  <c r="M406" i="94"/>
  <c r="G14" i="31"/>
  <c r="I17" i="101"/>
  <c r="L16" i="98"/>
  <c r="K18" i="101"/>
  <c r="D35" i="63"/>
  <c r="I35" i="63" s="1"/>
  <c r="E58" i="65"/>
  <c r="D119" i="103"/>
  <c r="D118" i="103"/>
  <c r="K132" i="71"/>
  <c r="L128" i="71"/>
  <c r="D68" i="16"/>
  <c r="Q36" i="42"/>
  <c r="G11" i="81"/>
  <c r="J566" i="94"/>
  <c r="D68" i="21"/>
  <c r="G91" i="92"/>
  <c r="B20" i="16"/>
  <c r="D58" i="15"/>
  <c r="D68" i="15"/>
  <c r="E91" i="87"/>
  <c r="X21" i="92"/>
  <c r="Y23" i="92"/>
  <c r="H559" i="94"/>
  <c r="E39" i="2"/>
  <c r="Q35" i="37"/>
  <c r="Q36" i="37"/>
  <c r="G10" i="81"/>
  <c r="O54" i="46"/>
  <c r="O56" i="46"/>
  <c r="P13" i="73"/>
  <c r="M63" i="14"/>
  <c r="M561" i="94"/>
  <c r="D68" i="91"/>
  <c r="O54" i="83"/>
  <c r="O56" i="83"/>
  <c r="P20" i="73"/>
  <c r="W14" i="97"/>
  <c r="Y39" i="62"/>
  <c r="Q36" i="84"/>
  <c r="G14" i="81"/>
  <c r="M63" i="92"/>
  <c r="M560" i="94"/>
  <c r="J13" i="26"/>
  <c r="L12" i="80"/>
  <c r="M12" i="80"/>
  <c r="B20" i="26"/>
  <c r="D58" i="25"/>
  <c r="D68" i="25"/>
  <c r="E53" i="25"/>
  <c r="W19" i="97"/>
  <c r="M128" i="63"/>
  <c r="K56" i="65"/>
  <c r="F565" i="94"/>
  <c r="K42" i="51"/>
  <c r="L42" i="51" s="1"/>
  <c r="I42" i="51"/>
  <c r="H14" i="102" s="1"/>
  <c r="I53" i="51"/>
  <c r="K14" i="102" s="1"/>
  <c r="E54" i="41"/>
  <c r="I14" i="41"/>
  <c r="M983" i="94"/>
  <c r="M987" i="94" s="1"/>
  <c r="X31" i="42"/>
  <c r="D8" i="64"/>
  <c r="L19" i="98"/>
  <c r="J23" i="51"/>
  <c r="J12" i="73" s="1"/>
  <c r="K46" i="51"/>
  <c r="K54" i="51" s="1"/>
  <c r="K56" i="51" s="1"/>
  <c r="L12" i="73" s="1"/>
  <c r="I46" i="51"/>
  <c r="I14" i="102"/>
  <c r="O54" i="51"/>
  <c r="O56" i="51" s="1"/>
  <c r="P12" i="73" s="1"/>
  <c r="E7" i="64"/>
  <c r="X31" i="14"/>
  <c r="K416" i="94"/>
  <c r="H558" i="94"/>
  <c r="D68" i="86"/>
  <c r="C19" i="2"/>
  <c r="E39" i="91"/>
  <c r="E68" i="91"/>
  <c r="E82" i="91"/>
  <c r="X31" i="87"/>
  <c r="B20" i="86"/>
  <c r="D58" i="85"/>
  <c r="D68" i="85"/>
  <c r="X22" i="47"/>
  <c r="G18" i="74"/>
  <c r="R35" i="47"/>
  <c r="R36" i="47"/>
  <c r="H12" i="81"/>
  <c r="I48" i="46"/>
  <c r="J13" i="102"/>
  <c r="K48" i="46"/>
  <c r="N48" i="46"/>
  <c r="N54" i="46"/>
  <c r="N56" i="46"/>
  <c r="O13" i="73" s="1"/>
  <c r="L560" i="94"/>
  <c r="L91" i="47"/>
  <c r="L858" i="94"/>
  <c r="F26" i="2"/>
  <c r="I46" i="26"/>
  <c r="I11" i="102"/>
  <c r="R35" i="14"/>
  <c r="G11" i="36"/>
  <c r="H18" i="101"/>
  <c r="R36" i="27"/>
  <c r="H8" i="81"/>
  <c r="K98" i="62"/>
  <c r="K935" i="94" s="1"/>
  <c r="K856" i="94"/>
  <c r="F19" i="26"/>
  <c r="J19" i="26"/>
  <c r="I560" i="94"/>
  <c r="W13" i="97"/>
  <c r="J91" i="14"/>
  <c r="J853" i="94"/>
  <c r="K559" i="94"/>
  <c r="W22" i="97"/>
  <c r="M63" i="37"/>
  <c r="M563" i="94"/>
  <c r="X22" i="14"/>
  <c r="G11" i="74"/>
  <c r="K11" i="74"/>
  <c r="I22" i="63"/>
  <c r="J22" i="63"/>
  <c r="R35" i="27"/>
  <c r="E54" i="63"/>
  <c r="E54" i="2"/>
  <c r="H91" i="27"/>
  <c r="M54" i="36"/>
  <c r="E39" i="86"/>
  <c r="E68" i="86"/>
  <c r="E82" i="86"/>
  <c r="X22" i="87"/>
  <c r="G22" i="74"/>
  <c r="M409" i="94"/>
  <c r="F15" i="91"/>
  <c r="B70" i="57"/>
  <c r="B73" i="57" s="1"/>
  <c r="B68" i="65" s="1"/>
  <c r="M1043" i="94"/>
  <c r="R36" i="87"/>
  <c r="H15" i="81"/>
  <c r="I42" i="36"/>
  <c r="K42" i="36"/>
  <c r="L42" i="36"/>
  <c r="W15" i="97"/>
  <c r="K48" i="36"/>
  <c r="N48" i="36"/>
  <c r="N54" i="36"/>
  <c r="E39" i="36"/>
  <c r="B60" i="57"/>
  <c r="F60" i="57" s="1"/>
  <c r="K60" i="57" s="1"/>
  <c r="N60" i="57" s="1"/>
  <c r="F51" i="36"/>
  <c r="D54" i="36"/>
  <c r="D68" i="36"/>
  <c r="K46" i="36"/>
  <c r="L46" i="36"/>
  <c r="L563" i="94"/>
  <c r="E91" i="37"/>
  <c r="E98" i="37"/>
  <c r="E934" i="94"/>
  <c r="D68" i="31"/>
  <c r="X21" i="27"/>
  <c r="Y23" i="27"/>
  <c r="Y49" i="27"/>
  <c r="N14" i="74"/>
  <c r="M63" i="27"/>
  <c r="M557" i="94"/>
  <c r="M1028" i="94"/>
  <c r="C19" i="26"/>
  <c r="C20" i="26" s="1"/>
  <c r="F987" i="94"/>
  <c r="Q14" i="98"/>
  <c r="R35" i="22"/>
  <c r="X22" i="22"/>
  <c r="G13" i="74"/>
  <c r="B62" i="57"/>
  <c r="M986" i="94"/>
  <c r="X31" i="22"/>
  <c r="K48" i="16"/>
  <c r="N48" i="16"/>
  <c r="N54" i="16"/>
  <c r="N56" i="16"/>
  <c r="O14" i="73"/>
  <c r="I48" i="16"/>
  <c r="J19" i="102" s="1"/>
  <c r="M407" i="94"/>
  <c r="M1040" i="94"/>
  <c r="L12" i="98"/>
  <c r="J23" i="16"/>
  <c r="J14" i="73" s="1"/>
  <c r="F45" i="16"/>
  <c r="E54" i="16"/>
  <c r="J91" i="17"/>
  <c r="J98" i="17"/>
  <c r="J929" i="94"/>
  <c r="D558" i="94"/>
  <c r="X21" i="17"/>
  <c r="F12" i="74"/>
  <c r="B56" i="57"/>
  <c r="E56" i="57"/>
  <c r="L91" i="17"/>
  <c r="L558" i="94"/>
  <c r="Y48" i="17"/>
  <c r="E39" i="16"/>
  <c r="L11" i="98"/>
  <c r="J23" i="2"/>
  <c r="J19" i="73"/>
  <c r="F1057" i="94"/>
  <c r="Y39" i="47"/>
  <c r="Y39" i="87"/>
  <c r="D34" i="79"/>
  <c r="D37" i="79" s="1"/>
  <c r="D63" i="56"/>
  <c r="B61" i="57"/>
  <c r="D108" i="56"/>
  <c r="F51" i="2"/>
  <c r="M259" i="94"/>
  <c r="B65" i="57"/>
  <c r="F65" i="57"/>
  <c r="K65" i="57" s="1"/>
  <c r="O65" i="57" s="1"/>
  <c r="K46" i="2"/>
  <c r="L46" i="2"/>
  <c r="I46" i="2"/>
  <c r="I10" i="102"/>
  <c r="Y39" i="37"/>
  <c r="J13" i="2"/>
  <c r="G14" i="2"/>
  <c r="I10" i="101"/>
  <c r="B69" i="57"/>
  <c r="F69" i="57" s="1"/>
  <c r="M1001" i="94"/>
  <c r="O245" i="94" s="1"/>
  <c r="J83" i="63"/>
  <c r="K83" i="63"/>
  <c r="J416" i="94"/>
  <c r="F51" i="31"/>
  <c r="F54" i="31"/>
  <c r="G558" i="94"/>
  <c r="G91" i="17"/>
  <c r="G557" i="94"/>
  <c r="G91" i="27"/>
  <c r="F563" i="94"/>
  <c r="E91" i="27"/>
  <c r="E98" i="27"/>
  <c r="E928" i="94"/>
  <c r="E54" i="36"/>
  <c r="J560" i="94"/>
  <c r="D32" i="57"/>
  <c r="D51" i="57" s="1"/>
  <c r="M63" i="17"/>
  <c r="M558" i="94"/>
  <c r="C15" i="16"/>
  <c r="F7" i="63" s="1"/>
  <c r="B57" i="57"/>
  <c r="E57" i="57" s="1"/>
  <c r="I14" i="74"/>
  <c r="I24" i="74"/>
  <c r="I39" i="74" s="1"/>
  <c r="X31" i="27"/>
  <c r="E24" i="100"/>
  <c r="E45" i="100"/>
  <c r="AG11" i="100"/>
  <c r="I42" i="2"/>
  <c r="H10" i="102" s="1"/>
  <c r="K42" i="2"/>
  <c r="L42" i="2"/>
  <c r="E91" i="17"/>
  <c r="E558" i="94"/>
  <c r="J13" i="21"/>
  <c r="G14" i="21"/>
  <c r="I16" i="101"/>
  <c r="Q24" i="100"/>
  <c r="Q45" i="100" s="1"/>
  <c r="AI11" i="100"/>
  <c r="E68" i="51"/>
  <c r="E82" i="51" s="1"/>
  <c r="I26" i="63"/>
  <c r="J26" i="63"/>
  <c r="B55" i="57"/>
  <c r="F55" i="57" s="1"/>
  <c r="K55" i="57" s="1"/>
  <c r="L55" i="57" s="1"/>
  <c r="M990" i="94"/>
  <c r="M63" i="42"/>
  <c r="M562" i="94"/>
  <c r="M1041" i="94"/>
  <c r="M63" i="87"/>
  <c r="M555" i="94"/>
  <c r="AC21" i="100"/>
  <c r="AK21" i="100"/>
  <c r="F51" i="91"/>
  <c r="B44" i="65"/>
  <c r="G555" i="94"/>
  <c r="E39" i="21"/>
  <c r="J24" i="74"/>
  <c r="J39" i="74" s="1"/>
  <c r="M1025" i="94"/>
  <c r="O461" i="94" s="1"/>
  <c r="M1048" i="94"/>
  <c r="E39" i="26"/>
  <c r="E68" i="26"/>
  <c r="E82" i="26"/>
  <c r="F26" i="26"/>
  <c r="J32" i="16"/>
  <c r="K46" i="41"/>
  <c r="L46" i="41"/>
  <c r="I46" i="41"/>
  <c r="I12" i="102"/>
  <c r="K48" i="51"/>
  <c r="N48" i="51" s="1"/>
  <c r="N54" i="51" s="1"/>
  <c r="N56" i="51" s="1"/>
  <c r="O12" i="73" s="1"/>
  <c r="I48" i="51"/>
  <c r="J14" i="102" s="1"/>
  <c r="J23" i="26"/>
  <c r="J18" i="73"/>
  <c r="L14" i="98"/>
  <c r="E39" i="41"/>
  <c r="F558" i="94"/>
  <c r="F91" i="17"/>
  <c r="H857" i="94"/>
  <c r="H98" i="84"/>
  <c r="H936" i="94"/>
  <c r="G416" i="94"/>
  <c r="K14" i="74"/>
  <c r="Y39" i="27"/>
  <c r="M54" i="21"/>
  <c r="M56" i="21"/>
  <c r="N16" i="73" s="1"/>
  <c r="E416" i="94"/>
  <c r="W18" i="97"/>
  <c r="F1034" i="94"/>
  <c r="J555" i="94"/>
  <c r="M63" i="62"/>
  <c r="M564" i="94" s="1"/>
  <c r="M567" i="94" s="1"/>
  <c r="AC19" i="100"/>
  <c r="R35" i="32"/>
  <c r="O54" i="26"/>
  <c r="O56" i="26"/>
  <c r="P18" i="73" s="1"/>
  <c r="B67" i="65"/>
  <c r="I42" i="26"/>
  <c r="H11" i="102" s="1"/>
  <c r="I91" i="42"/>
  <c r="I854" i="94"/>
  <c r="B41" i="57"/>
  <c r="B36" i="65"/>
  <c r="K48" i="2"/>
  <c r="N48" i="2"/>
  <c r="N54" i="2"/>
  <c r="N56" i="2"/>
  <c r="O19" i="73" s="1"/>
  <c r="I48" i="2"/>
  <c r="J10" i="102"/>
  <c r="M102" i="94"/>
  <c r="L565" i="94"/>
  <c r="L91" i="84"/>
  <c r="E565" i="94"/>
  <c r="E91" i="84"/>
  <c r="J18" i="16"/>
  <c r="D52" i="63"/>
  <c r="F52" i="63"/>
  <c r="C18" i="16"/>
  <c r="C20" i="16" s="1"/>
  <c r="F38" i="31"/>
  <c r="I566" i="94"/>
  <c r="I91" i="47"/>
  <c r="M54" i="31"/>
  <c r="J13" i="16"/>
  <c r="P116" i="63"/>
  <c r="Q116" i="63"/>
  <c r="D50" i="57"/>
  <c r="F44" i="51"/>
  <c r="F54" i="51" s="1"/>
  <c r="E39" i="46"/>
  <c r="O54" i="2"/>
  <c r="O56" i="2"/>
  <c r="P19" i="73" s="1"/>
  <c r="J81" i="63"/>
  <c r="K81" i="63"/>
  <c r="F38" i="26"/>
  <c r="L11" i="101"/>
  <c r="O54" i="16"/>
  <c r="O56" i="16"/>
  <c r="P14" i="73"/>
  <c r="AK12" i="100"/>
  <c r="AH12" i="100"/>
  <c r="AK11" i="100"/>
  <c r="K11" i="65"/>
  <c r="Q15" i="65"/>
  <c r="Q21" i="98"/>
  <c r="L21" i="80"/>
  <c r="G40" i="91"/>
  <c r="L555" i="94"/>
  <c r="L91" i="87"/>
  <c r="D86" i="57"/>
  <c r="M1047" i="94"/>
  <c r="B63" i="57"/>
  <c r="G848" i="94"/>
  <c r="G98" i="22"/>
  <c r="G927" i="94"/>
  <c r="J71" i="63"/>
  <c r="J16" i="65"/>
  <c r="C18" i="41"/>
  <c r="B20" i="41"/>
  <c r="D57" i="63"/>
  <c r="F18" i="41"/>
  <c r="F18" i="36"/>
  <c r="D56" i="63"/>
  <c r="B20" i="36"/>
  <c r="B39" i="36"/>
  <c r="F19" i="83"/>
  <c r="J19" i="83"/>
  <c r="C19" i="83"/>
  <c r="K20" i="74"/>
  <c r="Y39" i="84"/>
  <c r="K98" i="42"/>
  <c r="K933" i="94"/>
  <c r="K854" i="94"/>
  <c r="F51" i="21"/>
  <c r="F54" i="21"/>
  <c r="F91" i="47"/>
  <c r="F566" i="94"/>
  <c r="K566" i="94"/>
  <c r="K91" i="47"/>
  <c r="J98" i="92"/>
  <c r="J931" i="94"/>
  <c r="J852" i="94"/>
  <c r="J66" i="63"/>
  <c r="J60" i="63"/>
  <c r="X22" i="37"/>
  <c r="G16" i="74"/>
  <c r="R35" i="37"/>
  <c r="R36" i="37"/>
  <c r="H10" i="81"/>
  <c r="I98" i="62"/>
  <c r="I935" i="94" s="1"/>
  <c r="I938" i="94" s="1"/>
  <c r="I856" i="94"/>
  <c r="F26" i="36"/>
  <c r="K91" i="84"/>
  <c r="K565" i="94"/>
  <c r="J32" i="46"/>
  <c r="J38" i="46" s="1"/>
  <c r="K13" i="73" s="1"/>
  <c r="F38" i="46"/>
  <c r="L13" i="101"/>
  <c r="F18" i="31"/>
  <c r="B20" i="31"/>
  <c r="D55" i="63"/>
  <c r="D562" i="94"/>
  <c r="D91" i="42"/>
  <c r="E559" i="94"/>
  <c r="E91" i="32"/>
  <c r="L13" i="98"/>
  <c r="J23" i="21"/>
  <c r="J16" i="73" s="1"/>
  <c r="M408" i="94"/>
  <c r="X21" i="32"/>
  <c r="F416" i="94"/>
  <c r="M982" i="94"/>
  <c r="L91" i="42"/>
  <c r="L562" i="94"/>
  <c r="L98" i="47"/>
  <c r="L937" i="94"/>
  <c r="B77" i="57"/>
  <c r="F77" i="57"/>
  <c r="F78" i="57" s="1"/>
  <c r="M1061" i="94"/>
  <c r="K47" i="41"/>
  <c r="M47" i="41"/>
  <c r="M54" i="41"/>
  <c r="M56" i="41"/>
  <c r="N11" i="73" s="1"/>
  <c r="I53" i="41"/>
  <c r="K12" i="102"/>
  <c r="D14" i="63"/>
  <c r="D15" i="63" s="1"/>
  <c r="D11" i="50"/>
  <c r="D9" i="63"/>
  <c r="D11" i="25"/>
  <c r="D115" i="20"/>
  <c r="E102" i="20"/>
  <c r="D11" i="63"/>
  <c r="D11" i="35"/>
  <c r="I48" i="26"/>
  <c r="J11" i="102"/>
  <c r="K48" i="26"/>
  <c r="N48" i="26"/>
  <c r="N54" i="26"/>
  <c r="N56" i="26"/>
  <c r="O18" i="73"/>
  <c r="L120" i="63"/>
  <c r="L125" i="63"/>
  <c r="R35" i="84"/>
  <c r="R36" i="84"/>
  <c r="H14" i="81"/>
  <c r="X22" i="84"/>
  <c r="G20" i="74"/>
  <c r="M120" i="63"/>
  <c r="J85" i="63"/>
  <c r="K85" i="63"/>
  <c r="K48" i="41"/>
  <c r="N48" i="41"/>
  <c r="N54" i="41"/>
  <c r="N56" i="41"/>
  <c r="O11" i="73"/>
  <c r="I48" i="41"/>
  <c r="J12" i="102" s="1"/>
  <c r="D850" i="94"/>
  <c r="D98" i="17"/>
  <c r="D929" i="94"/>
  <c r="H562" i="94"/>
  <c r="H91" i="42"/>
  <c r="G561" i="94"/>
  <c r="G91" i="14"/>
  <c r="F45" i="91"/>
  <c r="E91" i="47"/>
  <c r="E566" i="94"/>
  <c r="H19" i="74"/>
  <c r="X31" i="62"/>
  <c r="L91" i="14"/>
  <c r="L561" i="94"/>
  <c r="C54" i="46"/>
  <c r="D95" i="63"/>
  <c r="J82" i="63"/>
  <c r="D89" i="63"/>
  <c r="M1033" i="94"/>
  <c r="J10" i="16"/>
  <c r="G14" i="41"/>
  <c r="I12" i="101"/>
  <c r="J13" i="41"/>
  <c r="J15" i="41"/>
  <c r="F15" i="41"/>
  <c r="F38" i="83"/>
  <c r="L15" i="101"/>
  <c r="J32" i="83"/>
  <c r="J38" i="83" s="1"/>
  <c r="K20" i="73" s="1"/>
  <c r="K15" i="74"/>
  <c r="Y39" i="32"/>
  <c r="J18" i="26"/>
  <c r="J556" i="94"/>
  <c r="J91" i="22"/>
  <c r="L849" i="94"/>
  <c r="L98" i="27"/>
  <c r="L928" i="94"/>
  <c r="B72" i="65"/>
  <c r="D37" i="63"/>
  <c r="I24" i="63"/>
  <c r="J24" i="63"/>
  <c r="B60" i="65"/>
  <c r="B112" i="57"/>
  <c r="B121" i="57" s="1"/>
  <c r="D54" i="56"/>
  <c r="F38" i="86"/>
  <c r="L21" i="101"/>
  <c r="M411" i="94"/>
  <c r="X21" i="42"/>
  <c r="B71" i="57"/>
  <c r="F71" i="57" s="1"/>
  <c r="M1055" i="94"/>
  <c r="M1057" i="94" s="1"/>
  <c r="O804" i="94" s="1"/>
  <c r="H91" i="22"/>
  <c r="H556" i="94"/>
  <c r="M24" i="97"/>
  <c r="W11" i="97"/>
  <c r="D91" i="37"/>
  <c r="D563" i="94"/>
  <c r="G98" i="92"/>
  <c r="G931" i="94"/>
  <c r="G852" i="94"/>
  <c r="H15" i="74"/>
  <c r="X31" i="32"/>
  <c r="E54" i="46"/>
  <c r="J98" i="62"/>
  <c r="J935" i="94" s="1"/>
  <c r="J938" i="94" s="1"/>
  <c r="J856" i="94"/>
  <c r="I30" i="63"/>
  <c r="J30" i="63" s="1"/>
  <c r="D43" i="63"/>
  <c r="I43" i="63" s="1"/>
  <c r="E64" i="63"/>
  <c r="J10" i="26"/>
  <c r="G11" i="26"/>
  <c r="H11" i="101"/>
  <c r="F15" i="26"/>
  <c r="H31" i="63"/>
  <c r="I27" i="63"/>
  <c r="J27" i="63"/>
  <c r="D115" i="15"/>
  <c r="E110" i="15"/>
  <c r="I14" i="2"/>
  <c r="I11" i="2"/>
  <c r="K11" i="98"/>
  <c r="D6" i="64"/>
  <c r="D565" i="94"/>
  <c r="D91" i="84"/>
  <c r="F562" i="94"/>
  <c r="F91" i="42"/>
  <c r="K848" i="94"/>
  <c r="K98" i="22"/>
  <c r="K927" i="94"/>
  <c r="E39" i="83"/>
  <c r="E68" i="83"/>
  <c r="E82" i="83"/>
  <c r="F51" i="16"/>
  <c r="G847" i="94"/>
  <c r="G98" i="87"/>
  <c r="G926" i="94"/>
  <c r="P16" i="65"/>
  <c r="L18" i="98"/>
  <c r="J23" i="46"/>
  <c r="J13" i="73" s="1"/>
  <c r="M1032" i="94"/>
  <c r="K120" i="63"/>
  <c r="D115" i="40"/>
  <c r="E106" i="40"/>
  <c r="F26" i="41"/>
  <c r="J14" i="51"/>
  <c r="G14" i="51"/>
  <c r="I14" i="101" s="1"/>
  <c r="K91" i="14"/>
  <c r="K561" i="94"/>
  <c r="P118" i="63"/>
  <c r="Q118" i="63"/>
  <c r="D132" i="63"/>
  <c r="M985" i="94"/>
  <c r="I849" i="94"/>
  <c r="I98" i="27"/>
  <c r="I928" i="94"/>
  <c r="G89" i="63"/>
  <c r="G93" i="63"/>
  <c r="J19" i="16"/>
  <c r="J20" i="16" s="1"/>
  <c r="H14" i="73" s="1"/>
  <c r="P117" i="63"/>
  <c r="Q117" i="63"/>
  <c r="D131" i="63"/>
  <c r="F38" i="21"/>
  <c r="L16" i="101"/>
  <c r="J32" i="21"/>
  <c r="J38" i="21"/>
  <c r="K16" i="73" s="1"/>
  <c r="F59" i="57"/>
  <c r="K59" i="57" s="1"/>
  <c r="M59" i="57" s="1"/>
  <c r="M66" i="57" s="1"/>
  <c r="D106" i="56"/>
  <c r="E55" i="63"/>
  <c r="F19" i="31"/>
  <c r="I850" i="94"/>
  <c r="I98" i="17"/>
  <c r="I929" i="94"/>
  <c r="D72" i="83"/>
  <c r="D77" i="83"/>
  <c r="D80" i="83"/>
  <c r="D82" i="83"/>
  <c r="F98" i="84"/>
  <c r="F936" i="94"/>
  <c r="F857" i="94"/>
  <c r="I25" i="63"/>
  <c r="J25" i="63"/>
  <c r="J858" i="94"/>
  <c r="J98" i="47"/>
  <c r="J937" i="94"/>
  <c r="I53" i="31"/>
  <c r="K43" i="31"/>
  <c r="L43" i="31"/>
  <c r="K43" i="2"/>
  <c r="I53" i="2"/>
  <c r="K10" i="102" s="1"/>
  <c r="L20" i="98"/>
  <c r="J23" i="83"/>
  <c r="J20" i="73" s="1"/>
  <c r="G856" i="94"/>
  <c r="G98" i="62"/>
  <c r="G935" i="94"/>
  <c r="G938" i="94" s="1"/>
  <c r="K560" i="94"/>
  <c r="K91" i="92"/>
  <c r="F19" i="46"/>
  <c r="J19" i="46"/>
  <c r="E58" i="63"/>
  <c r="E71" i="63"/>
  <c r="C19" i="46"/>
  <c r="F16" i="65"/>
  <c r="D115" i="82"/>
  <c r="E102" i="82"/>
  <c r="L17" i="98"/>
  <c r="J23" i="41"/>
  <c r="J11" i="73" s="1"/>
  <c r="I416" i="94"/>
  <c r="G559" i="94"/>
  <c r="G91" i="32"/>
  <c r="P115" i="63"/>
  <c r="Q115" i="63"/>
  <c r="X21" i="84"/>
  <c r="M414" i="94"/>
  <c r="M63" i="84"/>
  <c r="M565" i="94"/>
  <c r="M1030" i="94"/>
  <c r="F54" i="41"/>
  <c r="I42" i="41"/>
  <c r="H12" i="102" s="1"/>
  <c r="K42" i="41"/>
  <c r="D72" i="51"/>
  <c r="D77" i="51" s="1"/>
  <c r="D80" i="51" s="1"/>
  <c r="D82" i="51" s="1"/>
  <c r="F856" i="94"/>
  <c r="F98" i="62"/>
  <c r="F935" i="94"/>
  <c r="F938" i="94" s="1"/>
  <c r="M1056" i="94"/>
  <c r="B72" i="57"/>
  <c r="F72" i="57" s="1"/>
  <c r="N24" i="80" s="1"/>
  <c r="Y48" i="32"/>
  <c r="L15" i="74"/>
  <c r="G41" i="63"/>
  <c r="I28" i="63"/>
  <c r="J28" i="63"/>
  <c r="U24" i="97"/>
  <c r="C15" i="21"/>
  <c r="F8" i="63"/>
  <c r="H8" i="63" s="1"/>
  <c r="E847" i="94"/>
  <c r="E98" i="87"/>
  <c r="E926" i="94"/>
  <c r="I91" i="87"/>
  <c r="I555" i="94"/>
  <c r="D82" i="26"/>
  <c r="F101" i="63"/>
  <c r="F51" i="86"/>
  <c r="F54" i="86"/>
  <c r="D561" i="94"/>
  <c r="D91" i="14"/>
  <c r="X21" i="37"/>
  <c r="M412" i="94"/>
  <c r="D10" i="63"/>
  <c r="D11" i="30"/>
  <c r="M413" i="94"/>
  <c r="X21" i="62"/>
  <c r="K98" i="32"/>
  <c r="K930" i="94"/>
  <c r="K851" i="94"/>
  <c r="H851" i="94"/>
  <c r="H98" i="32"/>
  <c r="H930" i="94"/>
  <c r="J91" i="42"/>
  <c r="J562" i="94"/>
  <c r="K849" i="94"/>
  <c r="K98" i="27"/>
  <c r="K928" i="94"/>
  <c r="G11" i="51"/>
  <c r="H14" i="101" s="1"/>
  <c r="F15" i="51"/>
  <c r="J10" i="51"/>
  <c r="F19" i="21"/>
  <c r="J19" i="21"/>
  <c r="E53" i="63"/>
  <c r="E66" i="63"/>
  <c r="C19" i="21"/>
  <c r="G14" i="36"/>
  <c r="I18" i="101"/>
  <c r="F15" i="36"/>
  <c r="K43" i="21"/>
  <c r="L43" i="21"/>
  <c r="I53" i="21"/>
  <c r="K16" i="102"/>
  <c r="F18" i="83"/>
  <c r="B20" i="83"/>
  <c r="B39" i="83"/>
  <c r="C18" i="83"/>
  <c r="C20" i="83" s="1"/>
  <c r="B30" i="65"/>
  <c r="M1019" i="94"/>
  <c r="O431" i="94"/>
  <c r="D57" i="56"/>
  <c r="F38" i="36"/>
  <c r="L18" i="101"/>
  <c r="I556" i="94"/>
  <c r="I91" i="22"/>
  <c r="F133" i="63"/>
  <c r="P119" i="63"/>
  <c r="Q119" i="63" s="1"/>
  <c r="L46" i="26"/>
  <c r="L54" i="26"/>
  <c r="L56" i="26"/>
  <c r="M18" i="73"/>
  <c r="I60" i="63"/>
  <c r="Y48" i="84"/>
  <c r="L20" i="74"/>
  <c r="L16" i="65"/>
  <c r="I70" i="63"/>
  <c r="H20" i="74"/>
  <c r="X31" i="84"/>
  <c r="M1022" i="94"/>
  <c r="O446" i="94" s="1"/>
  <c r="E84" i="57"/>
  <c r="E89" i="57" s="1"/>
  <c r="E92" i="57" s="1"/>
  <c r="B38" i="57"/>
  <c r="B33" i="65"/>
  <c r="D31" i="79"/>
  <c r="G31" i="79" s="1"/>
  <c r="D566" i="94"/>
  <c r="D91" i="47"/>
  <c r="D115" i="45"/>
  <c r="E105" i="45"/>
  <c r="O54" i="21"/>
  <c r="O56" i="21"/>
  <c r="P16" i="73"/>
  <c r="D11" i="82"/>
  <c r="K47" i="16"/>
  <c r="M47" i="16"/>
  <c r="M54" i="16"/>
  <c r="M56" i="16"/>
  <c r="N14" i="73" s="1"/>
  <c r="I53" i="16"/>
  <c r="K19" i="102" s="1"/>
  <c r="G91" i="37"/>
  <c r="G563" i="94"/>
  <c r="K48" i="83"/>
  <c r="N48" i="83"/>
  <c r="N54" i="83"/>
  <c r="N56" i="83"/>
  <c r="O20" i="73" s="1"/>
  <c r="I48" i="83"/>
  <c r="J15" i="102"/>
  <c r="G91" i="84"/>
  <c r="G565" i="94"/>
  <c r="E54" i="21"/>
  <c r="K43" i="46"/>
  <c r="L43" i="46"/>
  <c r="I53" i="46"/>
  <c r="K13" i="102" s="1"/>
  <c r="K43" i="36"/>
  <c r="H98" i="27"/>
  <c r="H928" i="94"/>
  <c r="H849" i="94"/>
  <c r="H850" i="94"/>
  <c r="H98" i="17"/>
  <c r="H929" i="94"/>
  <c r="J87" i="63"/>
  <c r="D100" i="63"/>
  <c r="F95" i="63"/>
  <c r="F89" i="63"/>
  <c r="K850" i="94"/>
  <c r="K98" i="17"/>
  <c r="K929" i="94"/>
  <c r="H95" i="63"/>
  <c r="H416" i="94"/>
  <c r="I42" i="21"/>
  <c r="H16" i="102" s="1"/>
  <c r="K42" i="21"/>
  <c r="D115" i="90"/>
  <c r="E111" i="90"/>
  <c r="F38" i="91"/>
  <c r="L20" i="101"/>
  <c r="F18" i="91"/>
  <c r="B20" i="91"/>
  <c r="L416" i="94"/>
  <c r="D559" i="94"/>
  <c r="D91" i="32"/>
  <c r="M405" i="94"/>
  <c r="X21" i="22"/>
  <c r="F44" i="36"/>
  <c r="O127" i="63"/>
  <c r="O120" i="63"/>
  <c r="P113" i="63"/>
  <c r="Q113" i="63"/>
  <c r="D127" i="63"/>
  <c r="D120" i="63"/>
  <c r="K48" i="31"/>
  <c r="N48" i="31"/>
  <c r="N54" i="31"/>
  <c r="I48" i="31"/>
  <c r="D849" i="94"/>
  <c r="D98" i="27"/>
  <c r="D928" i="94"/>
  <c r="F19" i="51"/>
  <c r="J19" i="51" s="1"/>
  <c r="J20" i="51" s="1"/>
  <c r="H12" i="73" s="1"/>
  <c r="E59" i="63"/>
  <c r="F59" i="63" s="1"/>
  <c r="C19" i="51"/>
  <c r="I852" i="94"/>
  <c r="I98" i="92"/>
  <c r="I931" i="94"/>
  <c r="F29" i="51"/>
  <c r="F19" i="36"/>
  <c r="E56" i="63"/>
  <c r="D60" i="56"/>
  <c r="J14" i="46"/>
  <c r="G14" i="46"/>
  <c r="I13" i="101"/>
  <c r="F852" i="94"/>
  <c r="F98" i="92"/>
  <c r="F931" i="94"/>
  <c r="D72" i="91"/>
  <c r="D77" i="91"/>
  <c r="D80" i="91"/>
  <c r="K42" i="86"/>
  <c r="C54" i="21"/>
  <c r="Y48" i="87"/>
  <c r="I559" i="94"/>
  <c r="I91" i="32"/>
  <c r="I91" i="14"/>
  <c r="I561" i="94"/>
  <c r="L556" i="94"/>
  <c r="L91" i="22"/>
  <c r="D98" i="92"/>
  <c r="D931" i="94"/>
  <c r="D852" i="94"/>
  <c r="M63" i="32"/>
  <c r="M559" i="94"/>
  <c r="X31" i="47"/>
  <c r="H18" i="74"/>
  <c r="D98" i="22"/>
  <c r="D927" i="94"/>
  <c r="D848" i="94"/>
  <c r="J847" i="94"/>
  <c r="J98" i="87"/>
  <c r="J926" i="94"/>
  <c r="W21" i="97"/>
  <c r="F98" i="37"/>
  <c r="F934" i="94"/>
  <c r="D72" i="36"/>
  <c r="D77" i="36"/>
  <c r="D80" i="36"/>
  <c r="F855" i="94"/>
  <c r="J10" i="21"/>
  <c r="G11" i="21"/>
  <c r="H16" i="101"/>
  <c r="F15" i="21"/>
  <c r="K46" i="21"/>
  <c r="L46" i="21"/>
  <c r="I46" i="21"/>
  <c r="I16" i="102"/>
  <c r="E93" i="63"/>
  <c r="J80" i="63"/>
  <c r="D11" i="45"/>
  <c r="D13" i="63"/>
  <c r="D11" i="85"/>
  <c r="L852" i="94"/>
  <c r="L98" i="92"/>
  <c r="L931" i="94"/>
  <c r="R16" i="65"/>
  <c r="F51" i="26"/>
  <c r="F54" i="26"/>
  <c r="B76" i="57"/>
  <c r="M1060" i="94"/>
  <c r="J34" i="51"/>
  <c r="J86" i="63"/>
  <c r="D99" i="63"/>
  <c r="Q20" i="98"/>
  <c r="L20" i="80"/>
  <c r="M20" i="80"/>
  <c r="G40" i="83"/>
  <c r="I565" i="94"/>
  <c r="I91" i="84"/>
  <c r="D21" i="79"/>
  <c r="G120" i="63"/>
  <c r="P120" i="63" s="1"/>
  <c r="G125" i="63"/>
  <c r="F15" i="31"/>
  <c r="G11" i="31"/>
  <c r="H17" i="101"/>
  <c r="D564" i="94"/>
  <c r="D567" i="94" s="1"/>
  <c r="D91" i="62"/>
  <c r="G31" i="63"/>
  <c r="D115" i="85"/>
  <c r="E102" i="85"/>
  <c r="F26" i="86"/>
  <c r="I46" i="83"/>
  <c r="I15" i="102" s="1"/>
  <c r="K46" i="83"/>
  <c r="L46" i="83"/>
  <c r="K42" i="31"/>
  <c r="I42" i="31"/>
  <c r="C15" i="51"/>
  <c r="F14" i="63" s="1"/>
  <c r="H14" i="63" s="1"/>
  <c r="L21" i="74"/>
  <c r="Y48" i="92"/>
  <c r="F18" i="51"/>
  <c r="C18" i="51"/>
  <c r="C20" i="51" s="1"/>
  <c r="B20" i="51"/>
  <c r="B39" i="51" s="1"/>
  <c r="D59" i="63"/>
  <c r="M87" i="94"/>
  <c r="D115" i="25"/>
  <c r="E110" i="25"/>
  <c r="P112" i="63"/>
  <c r="Q112" i="63"/>
  <c r="H120" i="63"/>
  <c r="J851" i="94"/>
  <c r="J98" i="32"/>
  <c r="J930" i="94"/>
  <c r="T16" i="65"/>
  <c r="D115" i="1"/>
  <c r="E103" i="1"/>
  <c r="H16" i="74"/>
  <c r="X31" i="37"/>
  <c r="F35" i="79"/>
  <c r="V16" i="65"/>
  <c r="J98" i="27"/>
  <c r="J928" i="94"/>
  <c r="J849" i="94"/>
  <c r="M415" i="94"/>
  <c r="X21" i="47"/>
  <c r="M63" i="47"/>
  <c r="M566" i="94"/>
  <c r="I42" i="46"/>
  <c r="H13" i="102"/>
  <c r="F54" i="46"/>
  <c r="K42" i="46"/>
  <c r="G91" i="42"/>
  <c r="G562" i="94"/>
  <c r="N127" i="63"/>
  <c r="N120" i="63"/>
  <c r="J10" i="83"/>
  <c r="J15" i="83"/>
  <c r="G11" i="83"/>
  <c r="H15" i="101"/>
  <c r="F15" i="83"/>
  <c r="D12" i="63"/>
  <c r="D11" i="40"/>
  <c r="F127" i="63"/>
  <c r="F120" i="63"/>
  <c r="Y39" i="22"/>
  <c r="G11" i="46"/>
  <c r="H13" i="101"/>
  <c r="F15" i="46"/>
  <c r="J10" i="46"/>
  <c r="D11" i="90"/>
  <c r="B39" i="91"/>
  <c r="K563" i="94"/>
  <c r="K91" i="37"/>
  <c r="E125" i="63"/>
  <c r="E120" i="63"/>
  <c r="P111" i="63"/>
  <c r="Q111" i="63"/>
  <c r="I23" i="63"/>
  <c r="J23" i="63"/>
  <c r="D31" i="63"/>
  <c r="I48" i="21"/>
  <c r="J16" i="102" s="1"/>
  <c r="K48" i="21"/>
  <c r="N48" i="21"/>
  <c r="N54" i="21"/>
  <c r="N56" i="21"/>
  <c r="O16" i="73"/>
  <c r="H91" i="14"/>
  <c r="H561" i="94"/>
  <c r="D416" i="94"/>
  <c r="D25" i="79" s="1"/>
  <c r="D26" i="79" s="1"/>
  <c r="E855" i="94"/>
  <c r="F91" i="22"/>
  <c r="F556" i="94"/>
  <c r="F18" i="21"/>
  <c r="B20" i="21"/>
  <c r="B39" i="21"/>
  <c r="D53" i="63"/>
  <c r="C18" i="21"/>
  <c r="H91" i="87"/>
  <c r="H555" i="94"/>
  <c r="M1042" i="94"/>
  <c r="B58" i="57"/>
  <c r="D105" i="56" s="1"/>
  <c r="E561" i="94"/>
  <c r="E91" i="14"/>
  <c r="K46" i="46"/>
  <c r="L46" i="46"/>
  <c r="I46" i="46"/>
  <c r="I13" i="102" s="1"/>
  <c r="J127" i="63"/>
  <c r="J120" i="63"/>
  <c r="L16" i="74"/>
  <c r="Y48" i="37"/>
  <c r="D11" i="20"/>
  <c r="D8" i="63"/>
  <c r="D42" i="63"/>
  <c r="I29" i="63"/>
  <c r="J29" i="63"/>
  <c r="K847" i="94"/>
  <c r="K98" i="87"/>
  <c r="K926" i="94"/>
  <c r="K43" i="83"/>
  <c r="L43" i="83"/>
  <c r="I53" i="83"/>
  <c r="K15" i="102" s="1"/>
  <c r="H66" i="63"/>
  <c r="H60" i="63"/>
  <c r="X21" i="14"/>
  <c r="M410" i="94"/>
  <c r="E91" i="42"/>
  <c r="E562" i="94"/>
  <c r="L98" i="32"/>
  <c r="L930" i="94"/>
  <c r="L851" i="94"/>
  <c r="H16" i="65"/>
  <c r="D115" i="50"/>
  <c r="E104" i="50"/>
  <c r="K21" i="74"/>
  <c r="Y39" i="92"/>
  <c r="K14" i="65"/>
  <c r="K53" i="65"/>
  <c r="K7" i="65"/>
  <c r="K18" i="65"/>
  <c r="K49" i="65"/>
  <c r="K48" i="65"/>
  <c r="K13" i="65"/>
  <c r="K52" i="65"/>
  <c r="K22" i="65"/>
  <c r="K19" i="65"/>
  <c r="K20" i="65" s="1"/>
  <c r="F851" i="94"/>
  <c r="D72" i="31"/>
  <c r="D77" i="31"/>
  <c r="D80" i="31"/>
  <c r="F98" i="32"/>
  <c r="F930" i="94"/>
  <c r="E54" i="31"/>
  <c r="J91" i="84"/>
  <c r="J565" i="94"/>
  <c r="J563" i="94"/>
  <c r="J91" i="37"/>
  <c r="K42" i="83"/>
  <c r="I42" i="83"/>
  <c r="H15" i="102" s="1"/>
  <c r="F54" i="83"/>
  <c r="J72" i="63"/>
  <c r="E37" i="63"/>
  <c r="E31" i="63"/>
  <c r="C18" i="46"/>
  <c r="B20" i="46"/>
  <c r="D58" i="63"/>
  <c r="F18" i="46"/>
  <c r="D555" i="94"/>
  <c r="D91" i="87"/>
  <c r="F91" i="14"/>
  <c r="F561" i="94"/>
  <c r="D115" i="35"/>
  <c r="E104" i="35"/>
  <c r="C54" i="83"/>
  <c r="E556" i="94"/>
  <c r="E91" i="22"/>
  <c r="H563" i="94"/>
  <c r="H91" i="37"/>
  <c r="I563" i="94"/>
  <c r="I91" i="37"/>
  <c r="E39" i="31"/>
  <c r="J33" i="2"/>
  <c r="J38" i="2" s="1"/>
  <c r="K19" i="73" s="1"/>
  <c r="F38" i="2"/>
  <c r="L10" i="101"/>
  <c r="X21" i="87"/>
  <c r="M404" i="94"/>
  <c r="C15" i="46"/>
  <c r="F13" i="63"/>
  <c r="H13" i="63" s="1"/>
  <c r="G14" i="86"/>
  <c r="I21" i="101"/>
  <c r="F15" i="86"/>
  <c r="M1038" i="94"/>
  <c r="B54" i="57"/>
  <c r="D102" i="56" s="1"/>
  <c r="J32" i="41"/>
  <c r="J38" i="41" s="1"/>
  <c r="K11" i="73" s="1"/>
  <c r="F38" i="41"/>
  <c r="L12" i="101"/>
  <c r="M1029" i="94"/>
  <c r="M1034" i="94" s="1"/>
  <c r="O554" i="94" s="1"/>
  <c r="I93" i="63"/>
  <c r="I89" i="63"/>
  <c r="I120" i="63"/>
  <c r="F45" i="2"/>
  <c r="F54" i="2"/>
  <c r="K10" i="65"/>
  <c r="D115" i="30"/>
  <c r="E103" i="30"/>
  <c r="P114" i="63"/>
  <c r="Q114" i="63"/>
  <c r="I46" i="16"/>
  <c r="I19" i="102" s="1"/>
  <c r="K46" i="16"/>
  <c r="D51" i="63"/>
  <c r="F18" i="2"/>
  <c r="B20" i="2"/>
  <c r="C18" i="2"/>
  <c r="C20" i="2"/>
  <c r="J84" i="63"/>
  <c r="K84" i="63"/>
  <c r="K42" i="91"/>
  <c r="K58" i="65"/>
  <c r="K50" i="26"/>
  <c r="M50" i="26"/>
  <c r="M54" i="26"/>
  <c r="M56" i="26"/>
  <c r="N18" i="73" s="1"/>
  <c r="I53" i="26"/>
  <c r="K11" i="102"/>
  <c r="F19" i="41"/>
  <c r="J19" i="41"/>
  <c r="C19" i="41"/>
  <c r="E57" i="63"/>
  <c r="E70" i="63"/>
  <c r="H98" i="92"/>
  <c r="H931" i="94"/>
  <c r="H852" i="94"/>
  <c r="L91" i="62"/>
  <c r="L856" i="94" s="1"/>
  <c r="L859" i="94" s="1"/>
  <c r="L564" i="94"/>
  <c r="Y48" i="14"/>
  <c r="H96" i="63"/>
  <c r="G38" i="63"/>
  <c r="F98" i="87"/>
  <c r="F926" i="94"/>
  <c r="F847" i="94"/>
  <c r="D72" i="86"/>
  <c r="D77" i="86"/>
  <c r="D80" i="86"/>
  <c r="L855" i="94"/>
  <c r="L98" i="37"/>
  <c r="L934" i="94"/>
  <c r="H858" i="94"/>
  <c r="H98" i="47"/>
  <c r="H937" i="94"/>
  <c r="E560" i="94"/>
  <c r="E91" i="92"/>
  <c r="D7" i="63"/>
  <c r="D11" i="15"/>
  <c r="F64" i="57"/>
  <c r="K64" i="57" s="1"/>
  <c r="O64" i="57" s="1"/>
  <c r="O66" i="57" s="1"/>
  <c r="D111" i="56"/>
  <c r="B39" i="86"/>
  <c r="Q15" i="98"/>
  <c r="D12" i="85"/>
  <c r="F14" i="74"/>
  <c r="G40" i="31"/>
  <c r="E107" i="40"/>
  <c r="F54" i="36"/>
  <c r="E108" i="15"/>
  <c r="E13" i="64"/>
  <c r="L18" i="80"/>
  <c r="I55" i="86"/>
  <c r="I57" i="86"/>
  <c r="Q16" i="65"/>
  <c r="E60" i="103"/>
  <c r="D115" i="103"/>
  <c r="J18" i="91"/>
  <c r="J20" i="91"/>
  <c r="H21" i="73" s="1"/>
  <c r="F56" i="63"/>
  <c r="E68" i="2"/>
  <c r="E82" i="2"/>
  <c r="F20" i="91"/>
  <c r="F39" i="91"/>
  <c r="E113" i="20"/>
  <c r="J22" i="98"/>
  <c r="J21" i="101"/>
  <c r="D12" i="15"/>
  <c r="D17" i="15"/>
  <c r="E12" i="15"/>
  <c r="H18" i="80"/>
  <c r="L17" i="101"/>
  <c r="J15" i="26"/>
  <c r="I18" i="73" s="1"/>
  <c r="C20" i="46"/>
  <c r="J98" i="14"/>
  <c r="J932" i="94"/>
  <c r="D82" i="86"/>
  <c r="Y23" i="17"/>
  <c r="Y49" i="17"/>
  <c r="N12" i="74"/>
  <c r="D82" i="91"/>
  <c r="B39" i="16"/>
  <c r="F21" i="74"/>
  <c r="F20" i="26"/>
  <c r="J11" i="101"/>
  <c r="K52" i="63"/>
  <c r="D12" i="25"/>
  <c r="D17" i="25"/>
  <c r="E11" i="25"/>
  <c r="E68" i="16"/>
  <c r="E82" i="16"/>
  <c r="E68" i="36"/>
  <c r="E82" i="36"/>
  <c r="E68" i="41"/>
  <c r="E82" i="41"/>
  <c r="B39" i="26"/>
  <c r="E113" i="45"/>
  <c r="D82" i="36"/>
  <c r="E68" i="46"/>
  <c r="E82" i="46"/>
  <c r="J20" i="26"/>
  <c r="H18" i="73"/>
  <c r="D82" i="31"/>
  <c r="F54" i="16"/>
  <c r="G14" i="64"/>
  <c r="L14" i="64"/>
  <c r="K16" i="98"/>
  <c r="D10" i="64"/>
  <c r="E68" i="21"/>
  <c r="E82" i="21"/>
  <c r="F54" i="91"/>
  <c r="M91" i="92"/>
  <c r="B72" i="91"/>
  <c r="B77" i="91"/>
  <c r="F54" i="63"/>
  <c r="E110" i="40"/>
  <c r="E102" i="40"/>
  <c r="E106" i="45"/>
  <c r="G24" i="74"/>
  <c r="G39" i="74" s="1"/>
  <c r="E108" i="90"/>
  <c r="K567" i="94"/>
  <c r="E68" i="31"/>
  <c r="E82" i="31"/>
  <c r="E41" i="57"/>
  <c r="F41" i="57"/>
  <c r="D67" i="56"/>
  <c r="B118" i="57"/>
  <c r="E105" i="20"/>
  <c r="D109" i="56"/>
  <c r="F61" i="57"/>
  <c r="K61" i="57" s="1"/>
  <c r="N61" i="57" s="1"/>
  <c r="E110" i="20"/>
  <c r="D103" i="56"/>
  <c r="F62" i="57"/>
  <c r="K62" i="57" s="1"/>
  <c r="M62" i="57" s="1"/>
  <c r="D104" i="56"/>
  <c r="E107" i="20"/>
  <c r="E104" i="20"/>
  <c r="E112" i="20"/>
  <c r="J850" i="94"/>
  <c r="M91" i="17"/>
  <c r="S83" i="17"/>
  <c r="S85" i="17"/>
  <c r="L850" i="94"/>
  <c r="L98" i="17"/>
  <c r="L929" i="94"/>
  <c r="K24" i="74"/>
  <c r="K39" i="74" s="1"/>
  <c r="L11" i="80"/>
  <c r="M11" i="80"/>
  <c r="G40" i="2"/>
  <c r="E6" i="64"/>
  <c r="Q11" i="98"/>
  <c r="D112" i="56"/>
  <c r="F567" i="94"/>
  <c r="G98" i="17"/>
  <c r="G929" i="94"/>
  <c r="G850" i="94"/>
  <c r="G567" i="94"/>
  <c r="K56" i="63"/>
  <c r="E113" i="30"/>
  <c r="E112" i="30"/>
  <c r="J567" i="94"/>
  <c r="O15" i="98"/>
  <c r="E54" i="25"/>
  <c r="E111" i="25"/>
  <c r="O14" i="98"/>
  <c r="H12" i="80"/>
  <c r="I12" i="80"/>
  <c r="E14" i="64"/>
  <c r="L19" i="80"/>
  <c r="M19" i="80"/>
  <c r="Q12" i="98"/>
  <c r="H19" i="80"/>
  <c r="I19" i="80"/>
  <c r="O12" i="98"/>
  <c r="E12" i="64"/>
  <c r="L17" i="80"/>
  <c r="M17" i="80"/>
  <c r="G40" i="21"/>
  <c r="Q13" i="98"/>
  <c r="F850" i="94"/>
  <c r="F98" i="17"/>
  <c r="F929" i="94"/>
  <c r="D72" i="16"/>
  <c r="D77" i="16"/>
  <c r="D80" i="16"/>
  <c r="D82" i="16"/>
  <c r="E113" i="82"/>
  <c r="E98" i="84"/>
  <c r="E936" i="94"/>
  <c r="E857" i="94"/>
  <c r="Y49" i="92"/>
  <c r="N21" i="74"/>
  <c r="J15" i="21"/>
  <c r="I16" i="73" s="1"/>
  <c r="E108" i="82"/>
  <c r="I98" i="42"/>
  <c r="I933" i="94"/>
  <c r="H24" i="74"/>
  <c r="H39" i="74" s="1"/>
  <c r="AC24" i="100"/>
  <c r="AC28" i="100" s="1"/>
  <c r="K54" i="26"/>
  <c r="K56" i="26"/>
  <c r="L18" i="73"/>
  <c r="E108" i="45"/>
  <c r="E849" i="94"/>
  <c r="J15" i="16"/>
  <c r="I14" i="73"/>
  <c r="M41" i="97"/>
  <c r="I98" i="47"/>
  <c r="I937" i="94"/>
  <c r="I858" i="94"/>
  <c r="L98" i="84"/>
  <c r="L936" i="94"/>
  <c r="L857" i="94"/>
  <c r="E98" i="17"/>
  <c r="E929" i="94"/>
  <c r="E850" i="94"/>
  <c r="G98" i="27"/>
  <c r="G928" i="94"/>
  <c r="G849" i="94"/>
  <c r="E107" i="25"/>
  <c r="E107" i="82"/>
  <c r="M91" i="27"/>
  <c r="B72" i="26"/>
  <c r="B77" i="26"/>
  <c r="E111" i="45"/>
  <c r="E567" i="94"/>
  <c r="E112" i="25"/>
  <c r="E103" i="45"/>
  <c r="M1062" i="94"/>
  <c r="O845" i="94" s="1"/>
  <c r="E111" i="20"/>
  <c r="E103" i="20"/>
  <c r="C20" i="41"/>
  <c r="A92" i="85"/>
  <c r="E54" i="85"/>
  <c r="E53" i="85"/>
  <c r="E67" i="85"/>
  <c r="E63" i="85"/>
  <c r="E65" i="85"/>
  <c r="E59" i="85"/>
  <c r="E62" i="85"/>
  <c r="E64" i="85"/>
  <c r="E56" i="85"/>
  <c r="E66" i="85"/>
  <c r="E61" i="85"/>
  <c r="E60" i="85"/>
  <c r="E57" i="85"/>
  <c r="I57" i="36"/>
  <c r="H19" i="99" s="1"/>
  <c r="I55" i="36"/>
  <c r="G19" i="99" s="1"/>
  <c r="G10" i="64"/>
  <c r="I71" i="57"/>
  <c r="M98" i="92"/>
  <c r="S83" i="92"/>
  <c r="S85" i="92"/>
  <c r="B15" i="93"/>
  <c r="M852" i="94"/>
  <c r="I55" i="26"/>
  <c r="G7" i="64"/>
  <c r="L7" i="64"/>
  <c r="I57" i="26"/>
  <c r="E65" i="15"/>
  <c r="E62" i="15"/>
  <c r="E63" i="15"/>
  <c r="A92" i="15"/>
  <c r="E67" i="15"/>
  <c r="E66" i="15"/>
  <c r="E59" i="15"/>
  <c r="E64" i="15"/>
  <c r="E60" i="15"/>
  <c r="E57" i="15"/>
  <c r="E61" i="15"/>
  <c r="E56" i="15"/>
  <c r="E54" i="15"/>
  <c r="E53" i="15"/>
  <c r="I55" i="21"/>
  <c r="G12" i="64"/>
  <c r="L12" i="64"/>
  <c r="I57" i="21"/>
  <c r="K54" i="91"/>
  <c r="L42" i="91"/>
  <c r="L54" i="91"/>
  <c r="D58" i="45"/>
  <c r="D12" i="45"/>
  <c r="D17" i="45"/>
  <c r="E854" i="94"/>
  <c r="E98" i="42"/>
  <c r="E933" i="94"/>
  <c r="H17" i="80"/>
  <c r="I17" i="80"/>
  <c r="O13" i="98"/>
  <c r="Q17" i="98"/>
  <c r="L13" i="80"/>
  <c r="M13" i="80"/>
  <c r="G40" i="41"/>
  <c r="E8" i="64"/>
  <c r="D12" i="40"/>
  <c r="D17" i="40"/>
  <c r="E11" i="40"/>
  <c r="D58" i="40"/>
  <c r="J855" i="94"/>
  <c r="J98" i="37"/>
  <c r="J934" i="94"/>
  <c r="E98" i="14"/>
  <c r="E932" i="94"/>
  <c r="E853" i="94"/>
  <c r="E106" i="90"/>
  <c r="G6" i="64"/>
  <c r="I57" i="2"/>
  <c r="I55" i="2"/>
  <c r="B120" i="57"/>
  <c r="D64" i="56"/>
  <c r="O22" i="98"/>
  <c r="H22" i="80"/>
  <c r="I22" i="80"/>
  <c r="F39" i="86"/>
  <c r="J95" i="63"/>
  <c r="K82" i="63"/>
  <c r="J15" i="80"/>
  <c r="B68" i="36"/>
  <c r="G854" i="94"/>
  <c r="G98" i="42"/>
  <c r="G933" i="94"/>
  <c r="D72" i="63"/>
  <c r="I14" i="21"/>
  <c r="K13" i="98"/>
  <c r="D12" i="64"/>
  <c r="I11" i="21"/>
  <c r="K54" i="63"/>
  <c r="E113" i="35"/>
  <c r="K54" i="86"/>
  <c r="L42" i="86"/>
  <c r="L54" i="86"/>
  <c r="E102" i="90"/>
  <c r="I567" i="94"/>
  <c r="A136" i="82"/>
  <c r="E110" i="82"/>
  <c r="E106" i="82"/>
  <c r="E104" i="82"/>
  <c r="E113" i="90"/>
  <c r="D72" i="41"/>
  <c r="D77" i="41"/>
  <c r="D80" i="41"/>
  <c r="D82" i="41"/>
  <c r="F98" i="42"/>
  <c r="F933" i="94"/>
  <c r="F854" i="94"/>
  <c r="A136" i="15"/>
  <c r="E103" i="15"/>
  <c r="E111" i="15"/>
  <c r="E102" i="15"/>
  <c r="E112" i="15"/>
  <c r="E107" i="15"/>
  <c r="E104" i="15"/>
  <c r="E113" i="15"/>
  <c r="E109" i="15"/>
  <c r="I11" i="16"/>
  <c r="D14" i="64"/>
  <c r="I14" i="16"/>
  <c r="K12" i="98"/>
  <c r="Y23" i="32"/>
  <c r="Y49" i="32"/>
  <c r="N15" i="74"/>
  <c r="F15" i="74"/>
  <c r="J19" i="80"/>
  <c r="K19" i="80"/>
  <c r="B68" i="16"/>
  <c r="D61" i="56"/>
  <c r="E848" i="94"/>
  <c r="E98" i="22"/>
  <c r="E927" i="94"/>
  <c r="F853" i="94"/>
  <c r="D72" i="2"/>
  <c r="D77" i="2"/>
  <c r="D80" i="2"/>
  <c r="D82" i="2"/>
  <c r="F98" i="14"/>
  <c r="F932" i="94"/>
  <c r="I55" i="83"/>
  <c r="I57" i="83"/>
  <c r="O12" i="74"/>
  <c r="H567" i="94"/>
  <c r="H853" i="94"/>
  <c r="H98" i="14"/>
  <c r="H932" i="94"/>
  <c r="K54" i="46"/>
  <c r="K56" i="46"/>
  <c r="L13" i="73" s="1"/>
  <c r="L42" i="46"/>
  <c r="L54" i="46"/>
  <c r="L56" i="46"/>
  <c r="M13" i="73" s="1"/>
  <c r="E112" i="82"/>
  <c r="D12" i="50"/>
  <c r="D17" i="50" s="1"/>
  <c r="I57" i="31"/>
  <c r="H18" i="99"/>
  <c r="I55" i="31"/>
  <c r="G18" i="99" s="1"/>
  <c r="G13" i="64"/>
  <c r="I72" i="57"/>
  <c r="E104" i="45"/>
  <c r="I98" i="84"/>
  <c r="I936" i="94"/>
  <c r="I857" i="94"/>
  <c r="B39" i="46"/>
  <c r="E109" i="25"/>
  <c r="E110" i="90"/>
  <c r="G98" i="37"/>
  <c r="G934" i="94"/>
  <c r="G855" i="94"/>
  <c r="E102" i="45"/>
  <c r="D59" i="56"/>
  <c r="B116" i="57"/>
  <c r="D13" i="56"/>
  <c r="F19" i="74"/>
  <c r="Y23" i="62"/>
  <c r="Y23" i="37"/>
  <c r="Y49" i="37"/>
  <c r="N16" i="74"/>
  <c r="F16" i="74"/>
  <c r="I847" i="94"/>
  <c r="I98" i="87"/>
  <c r="I926" i="94"/>
  <c r="D62" i="56"/>
  <c r="D15" i="56"/>
  <c r="L43" i="2"/>
  <c r="L54" i="2"/>
  <c r="L56" i="2"/>
  <c r="M19" i="73"/>
  <c r="K54" i="2"/>
  <c r="K56" i="2"/>
  <c r="L19" i="73" s="1"/>
  <c r="E105" i="15"/>
  <c r="H848" i="94"/>
  <c r="H98" i="22"/>
  <c r="H927" i="94"/>
  <c r="E98" i="47"/>
  <c r="E937" i="94"/>
  <c r="E858" i="94"/>
  <c r="M850" i="94"/>
  <c r="A136" i="20"/>
  <c r="E109" i="20"/>
  <c r="E108" i="20"/>
  <c r="E106" i="20"/>
  <c r="F55" i="63"/>
  <c r="K55" i="63"/>
  <c r="D12" i="35"/>
  <c r="D17" i="35"/>
  <c r="D58" i="35"/>
  <c r="E105" i="35"/>
  <c r="A136" i="35"/>
  <c r="E108" i="35"/>
  <c r="E109" i="35"/>
  <c r="E107" i="35"/>
  <c r="E112" i="35"/>
  <c r="E106" i="35"/>
  <c r="E110" i="35"/>
  <c r="E102" i="35"/>
  <c r="E111" i="35"/>
  <c r="B68" i="83"/>
  <c r="J20" i="80"/>
  <c r="K20" i="80"/>
  <c r="H11" i="80"/>
  <c r="I11" i="80"/>
  <c r="O11" i="98"/>
  <c r="H98" i="42"/>
  <c r="H933" i="94"/>
  <c r="H854" i="94"/>
  <c r="D63" i="57"/>
  <c r="D66" i="57" s="1"/>
  <c r="D110" i="56"/>
  <c r="F11" i="74"/>
  <c r="Y23" i="14"/>
  <c r="Y49" i="14"/>
  <c r="N11" i="74"/>
  <c r="D58" i="1"/>
  <c r="D12" i="1"/>
  <c r="B39" i="2"/>
  <c r="O17" i="98"/>
  <c r="H13" i="80"/>
  <c r="I13" i="80"/>
  <c r="D72" i="21"/>
  <c r="D77" i="21"/>
  <c r="D80" i="21"/>
  <c r="D82" i="21"/>
  <c r="F848" i="94"/>
  <c r="F98" i="22"/>
  <c r="F927" i="94"/>
  <c r="J15" i="46"/>
  <c r="I57" i="46"/>
  <c r="G9" i="64"/>
  <c r="L9" i="64"/>
  <c r="I55" i="46"/>
  <c r="K54" i="31"/>
  <c r="L42" i="31"/>
  <c r="L54" i="31"/>
  <c r="M91" i="22"/>
  <c r="K54" i="21"/>
  <c r="K56" i="21"/>
  <c r="L16" i="73" s="1"/>
  <c r="L42" i="21"/>
  <c r="L54" i="21"/>
  <c r="L56" i="21"/>
  <c r="M16" i="73"/>
  <c r="J98" i="42"/>
  <c r="J933" i="94"/>
  <c r="J854" i="94"/>
  <c r="D857" i="94"/>
  <c r="D98" i="84"/>
  <c r="D936" i="94"/>
  <c r="M91" i="84"/>
  <c r="J14" i="98"/>
  <c r="D58" i="30"/>
  <c r="D12" i="30"/>
  <c r="D17" i="30"/>
  <c r="E11" i="30"/>
  <c r="K857" i="94"/>
  <c r="K98" i="84"/>
  <c r="K936" i="94"/>
  <c r="E113" i="1"/>
  <c r="F20" i="2"/>
  <c r="J18" i="2"/>
  <c r="J20" i="2" s="1"/>
  <c r="E107" i="30"/>
  <c r="K15" i="65"/>
  <c r="G40" i="86"/>
  <c r="Q22" i="98"/>
  <c r="L22" i="80"/>
  <c r="M22" i="80"/>
  <c r="I98" i="37"/>
  <c r="I934" i="94"/>
  <c r="I855" i="94"/>
  <c r="K54" i="83"/>
  <c r="K56" i="83"/>
  <c r="L20" i="73" s="1"/>
  <c r="L42" i="83"/>
  <c r="L54" i="83"/>
  <c r="L56" i="83"/>
  <c r="M20" i="73" s="1"/>
  <c r="A136" i="50"/>
  <c r="E107" i="50"/>
  <c r="E110" i="50"/>
  <c r="E108" i="50"/>
  <c r="E111" i="50"/>
  <c r="E103" i="50"/>
  <c r="E112" i="50"/>
  <c r="E106" i="50"/>
  <c r="E105" i="50"/>
  <c r="E113" i="50"/>
  <c r="E102" i="50"/>
  <c r="E109" i="50"/>
  <c r="B39" i="41"/>
  <c r="I14" i="83"/>
  <c r="I11" i="83"/>
  <c r="K20" i="98"/>
  <c r="J18" i="51"/>
  <c r="F20" i="51"/>
  <c r="D98" i="62"/>
  <c r="D935" i="94"/>
  <c r="D938" i="94" s="1"/>
  <c r="D856" i="94"/>
  <c r="D859" i="94" s="1"/>
  <c r="F76" i="57"/>
  <c r="B78" i="57"/>
  <c r="B73" i="65" s="1"/>
  <c r="I98" i="14"/>
  <c r="I932" i="94"/>
  <c r="I853" i="94"/>
  <c r="B50" i="57"/>
  <c r="D14" i="56" s="1"/>
  <c r="D858" i="94"/>
  <c r="M91" i="47"/>
  <c r="D98" i="47"/>
  <c r="D937" i="94"/>
  <c r="I98" i="22"/>
  <c r="I927" i="94"/>
  <c r="I848" i="94"/>
  <c r="D58" i="82"/>
  <c r="D12" i="82"/>
  <c r="D17" i="82"/>
  <c r="E11" i="82"/>
  <c r="D11" i="64"/>
  <c r="K19" i="98"/>
  <c r="I11" i="51"/>
  <c r="B39" i="31"/>
  <c r="M91" i="14"/>
  <c r="D853" i="94"/>
  <c r="D98" i="14"/>
  <c r="D932" i="94"/>
  <c r="S16" i="65"/>
  <c r="K98" i="14"/>
  <c r="K932" i="94"/>
  <c r="K853" i="94"/>
  <c r="O20" i="98"/>
  <c r="H20" i="80"/>
  <c r="I20" i="80"/>
  <c r="G853" i="94"/>
  <c r="G98" i="14"/>
  <c r="G932" i="94"/>
  <c r="J12" i="80"/>
  <c r="K12" i="80"/>
  <c r="B68" i="26"/>
  <c r="E111" i="82"/>
  <c r="L854" i="94"/>
  <c r="L98" i="42"/>
  <c r="L933" i="94"/>
  <c r="F20" i="31"/>
  <c r="J17" i="101"/>
  <c r="K858" i="94"/>
  <c r="K98" i="47"/>
  <c r="K937" i="94"/>
  <c r="F20" i="36"/>
  <c r="Y23" i="87"/>
  <c r="Y49" i="87"/>
  <c r="N22" i="74"/>
  <c r="F22" i="74"/>
  <c r="D17" i="85"/>
  <c r="E11" i="85"/>
  <c r="L14" i="80"/>
  <c r="G40" i="46"/>
  <c r="Q18" i="98"/>
  <c r="E9" i="64"/>
  <c r="L43" i="36"/>
  <c r="L54" i="36"/>
  <c r="K54" i="36"/>
  <c r="I55" i="41"/>
  <c r="G8" i="64"/>
  <c r="L8" i="64"/>
  <c r="I57" i="41"/>
  <c r="K14" i="98"/>
  <c r="D7" i="64"/>
  <c r="F7" i="64"/>
  <c r="I11" i="26"/>
  <c r="I14" i="26"/>
  <c r="D72" i="46"/>
  <c r="D77" i="46"/>
  <c r="D80" i="46"/>
  <c r="D82" i="46"/>
  <c r="F98" i="47"/>
  <c r="F937" i="94"/>
  <c r="F858" i="94"/>
  <c r="L847" i="94"/>
  <c r="L98" i="87"/>
  <c r="L926" i="94"/>
  <c r="H98" i="37"/>
  <c r="H934" i="94"/>
  <c r="H855" i="94"/>
  <c r="J17" i="80"/>
  <c r="K17" i="80"/>
  <c r="B68" i="21"/>
  <c r="D12" i="20"/>
  <c r="D17" i="20"/>
  <c r="D58" i="20"/>
  <c r="E106" i="85"/>
  <c r="A136" i="85"/>
  <c r="E105" i="85"/>
  <c r="E108" i="85"/>
  <c r="E107" i="85"/>
  <c r="E111" i="85"/>
  <c r="E103" i="85"/>
  <c r="E109" i="85"/>
  <c r="E113" i="85"/>
  <c r="E104" i="85"/>
  <c r="E112" i="85"/>
  <c r="J99" i="63"/>
  <c r="K86" i="63"/>
  <c r="A136" i="90"/>
  <c r="E104" i="90"/>
  <c r="E105" i="90"/>
  <c r="E109" i="90"/>
  <c r="E112" i="90"/>
  <c r="E103" i="90"/>
  <c r="E38" i="57"/>
  <c r="F38" i="57" s="1"/>
  <c r="D66" i="56"/>
  <c r="B117" i="57"/>
  <c r="K98" i="92"/>
  <c r="K931" i="94"/>
  <c r="K852" i="94"/>
  <c r="E60" i="25"/>
  <c r="E65" i="25"/>
  <c r="A92" i="25"/>
  <c r="E57" i="25"/>
  <c r="E64" i="25"/>
  <c r="E63" i="25"/>
  <c r="E56" i="25"/>
  <c r="E67" i="25"/>
  <c r="E62" i="25"/>
  <c r="E59" i="25"/>
  <c r="E61" i="25"/>
  <c r="E66" i="25"/>
  <c r="M91" i="87"/>
  <c r="D847" i="94"/>
  <c r="D98" i="87"/>
  <c r="D926" i="94"/>
  <c r="J857" i="94"/>
  <c r="J98" i="84"/>
  <c r="J936" i="94"/>
  <c r="A136" i="1"/>
  <c r="E105" i="1"/>
  <c r="E104" i="1"/>
  <c r="E110" i="1"/>
  <c r="E108" i="1"/>
  <c r="E111" i="1"/>
  <c r="E102" i="1"/>
  <c r="E112" i="1"/>
  <c r="E107" i="1"/>
  <c r="E106" i="1"/>
  <c r="D58" i="90"/>
  <c r="D12" i="90"/>
  <c r="D17" i="90"/>
  <c r="A136" i="45"/>
  <c r="E110" i="45"/>
  <c r="E107" i="45"/>
  <c r="E109" i="45"/>
  <c r="E112" i="45"/>
  <c r="E852" i="94"/>
  <c r="E98" i="92"/>
  <c r="E931" i="94"/>
  <c r="F20" i="46"/>
  <c r="J18" i="46"/>
  <c r="J20" i="46" s="1"/>
  <c r="P127" i="63"/>
  <c r="M91" i="32"/>
  <c r="D98" i="32"/>
  <c r="D930" i="94"/>
  <c r="D851" i="94"/>
  <c r="O21" i="98"/>
  <c r="H21" i="80"/>
  <c r="I21" i="80"/>
  <c r="F20" i="83"/>
  <c r="J18" i="83"/>
  <c r="J20" i="83"/>
  <c r="H20" i="73"/>
  <c r="E103" i="82"/>
  <c r="E106" i="15"/>
  <c r="K54" i="41"/>
  <c r="K56" i="41"/>
  <c r="L11" i="73"/>
  <c r="L42" i="41"/>
  <c r="L54" i="41"/>
  <c r="L56" i="41"/>
  <c r="M11" i="73" s="1"/>
  <c r="D56" i="56"/>
  <c r="B114" i="57"/>
  <c r="Q19" i="98"/>
  <c r="G40" i="51"/>
  <c r="L16" i="80"/>
  <c r="M16" i="80" s="1"/>
  <c r="E11" i="64"/>
  <c r="F6" i="64"/>
  <c r="D855" i="94"/>
  <c r="M91" i="37"/>
  <c r="D98" i="37"/>
  <c r="D934" i="94"/>
  <c r="E110" i="85"/>
  <c r="Y23" i="42"/>
  <c r="Y49" i="42"/>
  <c r="N17" i="74"/>
  <c r="F17" i="74"/>
  <c r="L98" i="14"/>
  <c r="L932" i="94"/>
  <c r="L853" i="94"/>
  <c r="B27" i="57"/>
  <c r="D11" i="56" s="1"/>
  <c r="B111" i="57"/>
  <c r="D53" i="56"/>
  <c r="E851" i="94"/>
  <c r="E98" i="32"/>
  <c r="E930" i="94"/>
  <c r="H14" i="80"/>
  <c r="O18" i="98"/>
  <c r="J18" i="41"/>
  <c r="J20" i="41"/>
  <c r="H11" i="73" s="1"/>
  <c r="F20" i="41"/>
  <c r="L46" i="16"/>
  <c r="L54" i="16"/>
  <c r="L56" i="16"/>
  <c r="M14" i="73"/>
  <c r="K54" i="16"/>
  <c r="K56" i="16"/>
  <c r="L14" i="73" s="1"/>
  <c r="F53" i="63"/>
  <c r="D66" i="63"/>
  <c r="E58" i="15"/>
  <c r="L98" i="22"/>
  <c r="L927" i="94"/>
  <c r="L848" i="94"/>
  <c r="D98" i="42"/>
  <c r="D933" i="94"/>
  <c r="M91" i="42"/>
  <c r="D854" i="94"/>
  <c r="E103" i="35"/>
  <c r="E58" i="85"/>
  <c r="J21" i="80"/>
  <c r="B68" i="91"/>
  <c r="K87" i="63"/>
  <c r="J100" i="63"/>
  <c r="J848" i="94"/>
  <c r="J98" i="22"/>
  <c r="J927" i="94"/>
  <c r="L567" i="94"/>
  <c r="J18" i="21"/>
  <c r="J20" i="21"/>
  <c r="H16" i="73" s="1"/>
  <c r="F20" i="21"/>
  <c r="H98" i="87"/>
  <c r="H926" i="94"/>
  <c r="H847" i="94"/>
  <c r="K98" i="37"/>
  <c r="K934" i="94"/>
  <c r="K855" i="94"/>
  <c r="J93" i="63"/>
  <c r="K80" i="63"/>
  <c r="Y23" i="22"/>
  <c r="Y49" i="22"/>
  <c r="N13" i="74"/>
  <c r="F13" i="74"/>
  <c r="L15" i="80"/>
  <c r="E10" i="64"/>
  <c r="F10" i="64"/>
  <c r="Q16" i="98"/>
  <c r="G40" i="36"/>
  <c r="G851" i="94"/>
  <c r="G98" i="32"/>
  <c r="G930" i="94"/>
  <c r="D60" i="63"/>
  <c r="F51" i="63"/>
  <c r="D64" i="63"/>
  <c r="E109" i="30"/>
  <c r="A136" i="30"/>
  <c r="E110" i="30"/>
  <c r="E111" i="30"/>
  <c r="E106" i="30"/>
  <c r="E108" i="30"/>
  <c r="E105" i="30"/>
  <c r="E104" i="30"/>
  <c r="P125" i="63"/>
  <c r="K18" i="98"/>
  <c r="I14" i="46"/>
  <c r="I11" i="46"/>
  <c r="D9" i="64"/>
  <c r="I20" i="73"/>
  <c r="E105" i="82"/>
  <c r="E102" i="30"/>
  <c r="M416" i="94"/>
  <c r="D71" i="63"/>
  <c r="F58" i="63"/>
  <c r="C20" i="21"/>
  <c r="I31" i="63"/>
  <c r="E109" i="1"/>
  <c r="O14" i="74"/>
  <c r="F18" i="74"/>
  <c r="Y23" i="47"/>
  <c r="Y49" i="47"/>
  <c r="N18" i="74"/>
  <c r="A136" i="25"/>
  <c r="E105" i="25"/>
  <c r="E103" i="25"/>
  <c r="E102" i="25"/>
  <c r="E113" i="25"/>
  <c r="E104" i="25"/>
  <c r="E106" i="25"/>
  <c r="E108" i="25"/>
  <c r="K15" i="98"/>
  <c r="D13" i="64"/>
  <c r="F13" i="64"/>
  <c r="J22" i="80"/>
  <c r="K22" i="80"/>
  <c r="B68" i="86"/>
  <c r="I98" i="32"/>
  <c r="I930" i="94"/>
  <c r="I851" i="94"/>
  <c r="E58" i="25"/>
  <c r="G857" i="94"/>
  <c r="G98" i="84"/>
  <c r="G936" i="94"/>
  <c r="B32" i="57"/>
  <c r="U41" i="97"/>
  <c r="H15" i="80"/>
  <c r="O16" i="98"/>
  <c r="E109" i="82"/>
  <c r="Y23" i="84"/>
  <c r="Y49" i="84"/>
  <c r="N20" i="74"/>
  <c r="F20" i="74"/>
  <c r="E103" i="40"/>
  <c r="E105" i="40"/>
  <c r="A136" i="40"/>
  <c r="E112" i="40"/>
  <c r="E109" i="40"/>
  <c r="E113" i="40"/>
  <c r="E108" i="40"/>
  <c r="E111" i="40"/>
  <c r="E104" i="40"/>
  <c r="W24" i="97"/>
  <c r="D65" i="56"/>
  <c r="E107" i="90"/>
  <c r="D70" i="63"/>
  <c r="F57" i="63"/>
  <c r="O21" i="74"/>
  <c r="M98" i="17"/>
  <c r="F39" i="26"/>
  <c r="J11" i="98"/>
  <c r="J10" i="101"/>
  <c r="J12" i="98"/>
  <c r="J21" i="98"/>
  <c r="J20" i="101"/>
  <c r="J17" i="98"/>
  <c r="J12" i="101"/>
  <c r="J18" i="98"/>
  <c r="J13" i="101"/>
  <c r="J13" i="98"/>
  <c r="J16" i="101"/>
  <c r="J16" i="98"/>
  <c r="J18" i="101"/>
  <c r="J19" i="98"/>
  <c r="J40" i="98" s="1"/>
  <c r="J14" i="101"/>
  <c r="E33" i="103"/>
  <c r="N21" i="102"/>
  <c r="H22" i="99"/>
  <c r="H35" i="99"/>
  <c r="J20" i="98"/>
  <c r="J15" i="101"/>
  <c r="I57" i="91"/>
  <c r="I55" i="91"/>
  <c r="G22" i="99"/>
  <c r="H14" i="99"/>
  <c r="N13" i="102"/>
  <c r="H11" i="99"/>
  <c r="N10" i="102"/>
  <c r="G12" i="99"/>
  <c r="L11" i="102"/>
  <c r="G17" i="99"/>
  <c r="L16" i="102"/>
  <c r="H16" i="99"/>
  <c r="N15" i="102"/>
  <c r="G16" i="99"/>
  <c r="L15" i="102"/>
  <c r="H12" i="99"/>
  <c r="N11" i="102"/>
  <c r="G13" i="99"/>
  <c r="L12" i="102"/>
  <c r="G14" i="99"/>
  <c r="L13" i="102"/>
  <c r="G11" i="99"/>
  <c r="L10" i="102"/>
  <c r="H17" i="99"/>
  <c r="N16" i="102"/>
  <c r="B15" i="18"/>
  <c r="P82" i="17"/>
  <c r="F68" i="16"/>
  <c r="B72" i="16"/>
  <c r="B77" i="16"/>
  <c r="M849" i="94"/>
  <c r="P82" i="92"/>
  <c r="E115" i="82"/>
  <c r="O20" i="74"/>
  <c r="F9" i="64"/>
  <c r="M9" i="64"/>
  <c r="E115" i="40"/>
  <c r="O17" i="74"/>
  <c r="F39" i="21"/>
  <c r="F68" i="21"/>
  <c r="I57" i="16"/>
  <c r="F39" i="46"/>
  <c r="F68" i="46"/>
  <c r="E11" i="15"/>
  <c r="F14" i="64"/>
  <c r="M14" i="64"/>
  <c r="I55" i="16"/>
  <c r="E115" i="85"/>
  <c r="E12" i="85"/>
  <c r="E51" i="57"/>
  <c r="E115" i="25"/>
  <c r="M98" i="27"/>
  <c r="R98" i="27"/>
  <c r="G64" i="27"/>
  <c r="E68" i="25"/>
  <c r="B15" i="28"/>
  <c r="S83" i="27"/>
  <c r="S85" i="27"/>
  <c r="B19" i="28"/>
  <c r="P82" i="27"/>
  <c r="E115" i="20"/>
  <c r="K859" i="94"/>
  <c r="F859" i="94"/>
  <c r="D84" i="57" s="1"/>
  <c r="D89" i="57" s="1"/>
  <c r="D92" i="57" s="1"/>
  <c r="O13" i="74"/>
  <c r="K938" i="94"/>
  <c r="F12" i="64"/>
  <c r="K12" i="64"/>
  <c r="F11" i="64"/>
  <c r="K11" i="64"/>
  <c r="G859" i="94"/>
  <c r="J859" i="94"/>
  <c r="A47" i="45"/>
  <c r="E14" i="45"/>
  <c r="E15" i="45"/>
  <c r="E13" i="45"/>
  <c r="E11" i="45"/>
  <c r="A47" i="90"/>
  <c r="E15" i="90"/>
  <c r="E14" i="90"/>
  <c r="E13" i="90"/>
  <c r="E11" i="90"/>
  <c r="B19" i="93"/>
  <c r="S89" i="92"/>
  <c r="D58" i="56"/>
  <c r="D12" i="56"/>
  <c r="B115" i="57"/>
  <c r="A47" i="35"/>
  <c r="E15" i="35"/>
  <c r="E13" i="35"/>
  <c r="E14" i="35"/>
  <c r="E11" i="35"/>
  <c r="A47" i="20"/>
  <c r="E13" i="20"/>
  <c r="E14" i="20"/>
  <c r="E15" i="20"/>
  <c r="E11" i="20"/>
  <c r="G41" i="21"/>
  <c r="M16" i="101"/>
  <c r="F24" i="74"/>
  <c r="F39" i="74" s="1"/>
  <c r="O11" i="74"/>
  <c r="E115" i="90"/>
  <c r="F8" i="64"/>
  <c r="E15" i="64"/>
  <c r="D68" i="90"/>
  <c r="E58" i="90"/>
  <c r="B72" i="46"/>
  <c r="B77" i="46"/>
  <c r="M858" i="94"/>
  <c r="B15" i="48"/>
  <c r="S83" i="47"/>
  <c r="S85" i="47"/>
  <c r="P82" i="47"/>
  <c r="M98" i="47"/>
  <c r="F39" i="41"/>
  <c r="B19" i="18"/>
  <c r="S89" i="17"/>
  <c r="M931" i="94"/>
  <c r="R98" i="92"/>
  <c r="G64" i="92"/>
  <c r="M106" i="92"/>
  <c r="F64" i="63"/>
  <c r="K51" i="63"/>
  <c r="D15" i="64"/>
  <c r="F68" i="91"/>
  <c r="G41" i="91"/>
  <c r="A47" i="40"/>
  <c r="E15" i="40"/>
  <c r="E14" i="40"/>
  <c r="E13" i="40"/>
  <c r="E12" i="30"/>
  <c r="J11" i="80"/>
  <c r="K11" i="80"/>
  <c r="B68" i="2"/>
  <c r="F68" i="86"/>
  <c r="G41" i="86"/>
  <c r="B80" i="26"/>
  <c r="B82" i="26"/>
  <c r="F77" i="26"/>
  <c r="F80" i="26"/>
  <c r="I73" i="57"/>
  <c r="W41" i="97"/>
  <c r="F66" i="63"/>
  <c r="K53" i="63"/>
  <c r="M855" i="94"/>
  <c r="P82" i="37"/>
  <c r="B15" i="38"/>
  <c r="M98" i="37"/>
  <c r="B72" i="36"/>
  <c r="B77" i="36"/>
  <c r="S83" i="37"/>
  <c r="S85" i="37"/>
  <c r="O18" i="74"/>
  <c r="D68" i="20"/>
  <c r="E58" i="20"/>
  <c r="F39" i="83"/>
  <c r="E12" i="82"/>
  <c r="B119" i="57"/>
  <c r="D68" i="1"/>
  <c r="E58" i="1"/>
  <c r="F39" i="2"/>
  <c r="O16" i="74"/>
  <c r="D68" i="40"/>
  <c r="E58" i="40"/>
  <c r="D68" i="45"/>
  <c r="E58" i="45"/>
  <c r="D68" i="35"/>
  <c r="E58" i="35"/>
  <c r="E115" i="50"/>
  <c r="H19" i="73"/>
  <c r="P82" i="84"/>
  <c r="S83" i="84"/>
  <c r="S85" i="84"/>
  <c r="B15" i="88"/>
  <c r="M857" i="94"/>
  <c r="M98" i="84"/>
  <c r="B72" i="83"/>
  <c r="B77" i="83"/>
  <c r="K6" i="64"/>
  <c r="M6" i="64"/>
  <c r="B72" i="86"/>
  <c r="B77" i="86"/>
  <c r="S83" i="87"/>
  <c r="S85" i="87"/>
  <c r="B19" i="89"/>
  <c r="B15" i="89"/>
  <c r="M98" i="87"/>
  <c r="M847" i="94"/>
  <c r="P82" i="87"/>
  <c r="A47" i="85"/>
  <c r="E15" i="85"/>
  <c r="E13" i="85"/>
  <c r="E14" i="85"/>
  <c r="J15" i="98"/>
  <c r="F39" i="31"/>
  <c r="M98" i="22"/>
  <c r="S83" i="22"/>
  <c r="B15" i="23"/>
  <c r="P82" i="22"/>
  <c r="M848" i="94"/>
  <c r="B72" i="21"/>
  <c r="B77" i="21"/>
  <c r="B80" i="16"/>
  <c r="B82" i="16"/>
  <c r="F77" i="16"/>
  <c r="F80" i="16"/>
  <c r="E12" i="45"/>
  <c r="E12" i="20"/>
  <c r="D68" i="82"/>
  <c r="E58" i="82"/>
  <c r="F63" i="57"/>
  <c r="E115" i="35"/>
  <c r="L40" i="98"/>
  <c r="L23" i="98"/>
  <c r="L50" i="98" s="1"/>
  <c r="L54" i="98" s="1"/>
  <c r="E12" i="40"/>
  <c r="B80" i="91"/>
  <c r="B82" i="91"/>
  <c r="F77" i="91"/>
  <c r="F80" i="91"/>
  <c r="M854" i="94"/>
  <c r="B72" i="41"/>
  <c r="B77" i="41"/>
  <c r="P82" i="42"/>
  <c r="M98" i="42"/>
  <c r="B15" i="43"/>
  <c r="S83" i="42"/>
  <c r="S85" i="42"/>
  <c r="M7" i="64"/>
  <c r="K7" i="64"/>
  <c r="B68" i="31"/>
  <c r="J18" i="80"/>
  <c r="K18" i="80"/>
  <c r="A47" i="25"/>
  <c r="E13" i="25"/>
  <c r="E15" i="25"/>
  <c r="E14" i="25"/>
  <c r="E12" i="90"/>
  <c r="E12" i="35"/>
  <c r="J14" i="80"/>
  <c r="B68" i="46"/>
  <c r="E12" i="25"/>
  <c r="J13" i="80"/>
  <c r="K13" i="80"/>
  <c r="B68" i="41"/>
  <c r="D68" i="30"/>
  <c r="E58" i="30"/>
  <c r="I13" i="73"/>
  <c r="D17" i="1"/>
  <c r="E12" i="1"/>
  <c r="I859" i="94"/>
  <c r="E68" i="15"/>
  <c r="E68" i="85"/>
  <c r="A47" i="82"/>
  <c r="E15" i="82"/>
  <c r="E13" i="82"/>
  <c r="E14" i="82"/>
  <c r="E115" i="30"/>
  <c r="F39" i="36"/>
  <c r="F71" i="63"/>
  <c r="K58" i="63"/>
  <c r="E115" i="1"/>
  <c r="F70" i="63"/>
  <c r="K57" i="63"/>
  <c r="J39" i="83"/>
  <c r="G20" i="73" s="1"/>
  <c r="A47" i="30"/>
  <c r="E14" i="30"/>
  <c r="E15" i="30"/>
  <c r="E13" i="30"/>
  <c r="M851" i="94"/>
  <c r="B72" i="31"/>
  <c r="B77" i="31"/>
  <c r="M98" i="32"/>
  <c r="B15" i="33"/>
  <c r="P82" i="32"/>
  <c r="S83" i="32"/>
  <c r="S85" i="32"/>
  <c r="O22" i="74"/>
  <c r="B72" i="2"/>
  <c r="B77" i="2"/>
  <c r="B15" i="6"/>
  <c r="M98" i="14"/>
  <c r="P82" i="14"/>
  <c r="M853" i="94"/>
  <c r="S83" i="14"/>
  <c r="S85" i="14"/>
  <c r="G41" i="26"/>
  <c r="M11" i="101"/>
  <c r="F68" i="26"/>
  <c r="A47" i="15"/>
  <c r="E13" i="15"/>
  <c r="E14" i="15"/>
  <c r="E15" i="15"/>
  <c r="R98" i="17"/>
  <c r="G64" i="17"/>
  <c r="M929" i="94"/>
  <c r="M106" i="17"/>
  <c r="E115" i="45"/>
  <c r="O15" i="74"/>
  <c r="E115" i="15"/>
  <c r="L6" i="64"/>
  <c r="I21" i="98"/>
  <c r="M20" i="101"/>
  <c r="I41" i="91"/>
  <c r="I39" i="91"/>
  <c r="I22" i="98"/>
  <c r="M21" i="101"/>
  <c r="I39" i="86"/>
  <c r="I41" i="86"/>
  <c r="E17" i="15"/>
  <c r="G21" i="99"/>
  <c r="L20" i="102"/>
  <c r="G36" i="99"/>
  <c r="H21" i="99"/>
  <c r="N20" i="102"/>
  <c r="H36" i="99"/>
  <c r="H20" i="99"/>
  <c r="N19" i="102"/>
  <c r="G20" i="99"/>
  <c r="L19" i="102"/>
  <c r="E17" i="82"/>
  <c r="M12" i="64"/>
  <c r="G41" i="46"/>
  <c r="K9" i="64"/>
  <c r="E17" i="40"/>
  <c r="K14" i="64"/>
  <c r="E17" i="85"/>
  <c r="E17" i="30"/>
  <c r="S89" i="27"/>
  <c r="S91" i="27"/>
  <c r="E17" i="25"/>
  <c r="M928" i="94"/>
  <c r="M106" i="27"/>
  <c r="M107" i="27"/>
  <c r="E8" i="81"/>
  <c r="F15" i="64"/>
  <c r="S89" i="37"/>
  <c r="B19" i="38"/>
  <c r="S89" i="47"/>
  <c r="B19" i="48"/>
  <c r="B19" i="88"/>
  <c r="S89" i="84"/>
  <c r="M936" i="94"/>
  <c r="M106" i="84"/>
  <c r="R98" i="84"/>
  <c r="G64" i="84"/>
  <c r="M107" i="17"/>
  <c r="E6" i="81"/>
  <c r="M961" i="94"/>
  <c r="R98" i="14"/>
  <c r="G64" i="14"/>
  <c r="M932" i="94"/>
  <c r="M106" i="14"/>
  <c r="F82" i="16"/>
  <c r="F83" i="16"/>
  <c r="D6" i="81"/>
  <c r="E17" i="35"/>
  <c r="E17" i="45"/>
  <c r="F82" i="26"/>
  <c r="F83" i="26"/>
  <c r="D8" i="81"/>
  <c r="A47" i="1"/>
  <c r="E13" i="1"/>
  <c r="E15" i="1"/>
  <c r="E11" i="1"/>
  <c r="E14" i="1"/>
  <c r="A92" i="82"/>
  <c r="E54" i="82"/>
  <c r="E62" i="82"/>
  <c r="E57" i="82"/>
  <c r="E56" i="82"/>
  <c r="E53" i="82"/>
  <c r="E61" i="82"/>
  <c r="E59" i="82"/>
  <c r="E65" i="82"/>
  <c r="E63" i="82"/>
  <c r="E67" i="82"/>
  <c r="E60" i="82"/>
  <c r="E64" i="82"/>
  <c r="E66" i="82"/>
  <c r="M927" i="94"/>
  <c r="M106" i="22"/>
  <c r="R98" i="22"/>
  <c r="G64" i="22"/>
  <c r="F82" i="91"/>
  <c r="F83" i="91"/>
  <c r="D16" i="81"/>
  <c r="M963" i="94"/>
  <c r="M107" i="92"/>
  <c r="E16" i="81"/>
  <c r="R98" i="47"/>
  <c r="G64" i="47"/>
  <c r="M106" i="47"/>
  <c r="M937" i="94"/>
  <c r="A92" i="90"/>
  <c r="E66" i="90"/>
  <c r="E61" i="90"/>
  <c r="E54" i="90"/>
  <c r="E53" i="90"/>
  <c r="E56" i="90"/>
  <c r="E67" i="90"/>
  <c r="E59" i="90"/>
  <c r="E63" i="90"/>
  <c r="E60" i="90"/>
  <c r="E65" i="90"/>
  <c r="E62" i="90"/>
  <c r="E57" i="90"/>
  <c r="E64" i="90"/>
  <c r="B23" i="93"/>
  <c r="B9" i="93"/>
  <c r="S91" i="92"/>
  <c r="B19" i="43"/>
  <c r="S89" i="42"/>
  <c r="A92" i="20"/>
  <c r="E56" i="20"/>
  <c r="E57" i="20"/>
  <c r="E61" i="20"/>
  <c r="E53" i="20"/>
  <c r="E66" i="20"/>
  <c r="E67" i="20"/>
  <c r="E60" i="20"/>
  <c r="E54" i="20"/>
  <c r="E65" i="20"/>
  <c r="E64" i="20"/>
  <c r="E59" i="20"/>
  <c r="E62" i="20"/>
  <c r="E63" i="20"/>
  <c r="G41" i="41"/>
  <c r="M12" i="101"/>
  <c r="F68" i="41"/>
  <c r="I41" i="21"/>
  <c r="I39" i="21"/>
  <c r="I13" i="98"/>
  <c r="F68" i="31"/>
  <c r="G41" i="31"/>
  <c r="F77" i="21"/>
  <c r="F80" i="21"/>
  <c r="F82" i="21"/>
  <c r="F83" i="21"/>
  <c r="D7" i="81"/>
  <c r="B80" i="21"/>
  <c r="B82" i="21"/>
  <c r="S89" i="87"/>
  <c r="E56" i="35"/>
  <c r="A92" i="35"/>
  <c r="E54" i="35"/>
  <c r="E53" i="35"/>
  <c r="E60" i="35"/>
  <c r="E62" i="35"/>
  <c r="E64" i="35"/>
  <c r="E63" i="35"/>
  <c r="E57" i="35"/>
  <c r="E66" i="35"/>
  <c r="E59" i="35"/>
  <c r="E61" i="35"/>
  <c r="E67" i="35"/>
  <c r="E65" i="35"/>
  <c r="S91" i="17"/>
  <c r="B23" i="18"/>
  <c r="B9" i="18"/>
  <c r="E17" i="20"/>
  <c r="E17" i="90"/>
  <c r="B80" i="86"/>
  <c r="B82" i="86"/>
  <c r="F77" i="86"/>
  <c r="F80" i="86"/>
  <c r="F82" i="86"/>
  <c r="F83" i="86"/>
  <c r="D15" i="81"/>
  <c r="G41" i="2"/>
  <c r="M10" i="101"/>
  <c r="F68" i="2"/>
  <c r="G41" i="36"/>
  <c r="F68" i="36"/>
  <c r="B80" i="46"/>
  <c r="B82" i="46"/>
  <c r="F77" i="46"/>
  <c r="F80" i="46"/>
  <c r="F82" i="46"/>
  <c r="F83" i="46"/>
  <c r="D12" i="81"/>
  <c r="I14" i="98"/>
  <c r="I41" i="26"/>
  <c r="I39" i="26"/>
  <c r="M926" i="94"/>
  <c r="M106" i="87"/>
  <c r="R98" i="87"/>
  <c r="G64" i="87"/>
  <c r="R98" i="32"/>
  <c r="G64" i="32"/>
  <c r="M930" i="94"/>
  <c r="M106" i="32"/>
  <c r="M933" i="94"/>
  <c r="M106" i="42"/>
  <c r="R98" i="42"/>
  <c r="G64" i="42"/>
  <c r="S85" i="22"/>
  <c r="F77" i="83"/>
  <c r="F80" i="83"/>
  <c r="B80" i="83"/>
  <c r="B82" i="83"/>
  <c r="M8" i="64"/>
  <c r="K8" i="64"/>
  <c r="B23" i="28"/>
  <c r="B9" i="28"/>
  <c r="B80" i="41"/>
  <c r="B82" i="41"/>
  <c r="F77" i="41"/>
  <c r="F80" i="41"/>
  <c r="I39" i="16"/>
  <c r="I41" i="16"/>
  <c r="I12" i="98"/>
  <c r="E64" i="45"/>
  <c r="A92" i="45"/>
  <c r="E56" i="45"/>
  <c r="E54" i="45"/>
  <c r="E59" i="45"/>
  <c r="E67" i="45"/>
  <c r="E62" i="45"/>
  <c r="E57" i="45"/>
  <c r="E66" i="45"/>
  <c r="E60" i="45"/>
  <c r="E53" i="45"/>
  <c r="E63" i="45"/>
  <c r="E61" i="45"/>
  <c r="E65" i="45"/>
  <c r="A92" i="1"/>
  <c r="E64" i="1"/>
  <c r="E62" i="1"/>
  <c r="E59" i="1"/>
  <c r="E60" i="1"/>
  <c r="E56" i="1"/>
  <c r="E67" i="1"/>
  <c r="E54" i="1"/>
  <c r="E53" i="1"/>
  <c r="E57" i="1"/>
  <c r="E66" i="1"/>
  <c r="E61" i="1"/>
  <c r="E65" i="1"/>
  <c r="E63" i="1"/>
  <c r="F77" i="2"/>
  <c r="F80" i="2"/>
  <c r="B80" i="2"/>
  <c r="B82" i="2"/>
  <c r="S89" i="32"/>
  <c r="B19" i="33"/>
  <c r="E54" i="40"/>
  <c r="A92" i="40"/>
  <c r="E53" i="40"/>
  <c r="E67" i="40"/>
  <c r="E63" i="40"/>
  <c r="E64" i="40"/>
  <c r="E61" i="40"/>
  <c r="E66" i="40"/>
  <c r="E65" i="40"/>
  <c r="E57" i="40"/>
  <c r="E59" i="40"/>
  <c r="E62" i="40"/>
  <c r="E60" i="40"/>
  <c r="E56" i="40"/>
  <c r="B19" i="6"/>
  <c r="S89" i="14"/>
  <c r="F68" i="83"/>
  <c r="G41" i="83"/>
  <c r="M15" i="101"/>
  <c r="B80" i="36"/>
  <c r="B82" i="36"/>
  <c r="F77" i="36"/>
  <c r="F80" i="36"/>
  <c r="B80" i="31"/>
  <c r="B82" i="31"/>
  <c r="F77" i="31"/>
  <c r="F80" i="31"/>
  <c r="A92" i="30"/>
  <c r="E65" i="30"/>
  <c r="E57" i="30"/>
  <c r="E53" i="30"/>
  <c r="E67" i="30"/>
  <c r="E64" i="30"/>
  <c r="E66" i="30"/>
  <c r="E59" i="30"/>
  <c r="E63" i="30"/>
  <c r="E61" i="30"/>
  <c r="E60" i="30"/>
  <c r="E62" i="30"/>
  <c r="E54" i="30"/>
  <c r="E56" i="30"/>
  <c r="M934" i="94"/>
  <c r="M106" i="37"/>
  <c r="R98" i="37"/>
  <c r="G64" i="37"/>
  <c r="I41" i="46"/>
  <c r="M13" i="101"/>
  <c r="I16" i="98"/>
  <c r="M18" i="101"/>
  <c r="I15" i="98"/>
  <c r="M17" i="101"/>
  <c r="I18" i="98"/>
  <c r="I39" i="46"/>
  <c r="F82" i="41"/>
  <c r="F83" i="41"/>
  <c r="D11" i="81"/>
  <c r="F82" i="36"/>
  <c r="F83" i="36"/>
  <c r="D10" i="81"/>
  <c r="M960" i="94"/>
  <c r="F82" i="2"/>
  <c r="F83" i="2"/>
  <c r="D5" i="81"/>
  <c r="E17" i="1"/>
  <c r="M964" i="94"/>
  <c r="M107" i="14"/>
  <c r="E5" i="81"/>
  <c r="B23" i="6"/>
  <c r="B9" i="6"/>
  <c r="S91" i="14"/>
  <c r="E68" i="45"/>
  <c r="B19" i="23"/>
  <c r="S89" i="22"/>
  <c r="B23" i="89"/>
  <c r="B9" i="89"/>
  <c r="S91" i="87"/>
  <c r="E68" i="20"/>
  <c r="M969" i="94"/>
  <c r="M107" i="47"/>
  <c r="E12" i="81"/>
  <c r="J23" i="98"/>
  <c r="S91" i="84"/>
  <c r="B23" i="88"/>
  <c r="M107" i="37"/>
  <c r="E10" i="81"/>
  <c r="M966" i="94"/>
  <c r="E68" i="90"/>
  <c r="M107" i="22"/>
  <c r="E7" i="81"/>
  <c r="M959" i="94"/>
  <c r="I20" i="98"/>
  <c r="I41" i="83"/>
  <c r="I39" i="83"/>
  <c r="B23" i="33"/>
  <c r="B9" i="33"/>
  <c r="S91" i="32"/>
  <c r="E68" i="1"/>
  <c r="M107" i="87"/>
  <c r="E15" i="81"/>
  <c r="M958" i="94"/>
  <c r="B23" i="48"/>
  <c r="B9" i="48"/>
  <c r="S91" i="47"/>
  <c r="M107" i="42"/>
  <c r="E11" i="81"/>
  <c r="M965" i="94"/>
  <c r="I41" i="2"/>
  <c r="I39" i="2"/>
  <c r="I11" i="98"/>
  <c r="F82" i="83"/>
  <c r="F83" i="83"/>
  <c r="D14" i="81"/>
  <c r="E68" i="40"/>
  <c r="M107" i="32"/>
  <c r="E9" i="81"/>
  <c r="M962" i="94"/>
  <c r="E68" i="35"/>
  <c r="F82" i="31"/>
  <c r="F83" i="31"/>
  <c r="D9" i="81"/>
  <c r="I17" i="98"/>
  <c r="I39" i="41"/>
  <c r="I41" i="41"/>
  <c r="E68" i="82"/>
  <c r="E68" i="30"/>
  <c r="S91" i="42"/>
  <c r="B23" i="43"/>
  <c r="B9" i="43"/>
  <c r="M107" i="84"/>
  <c r="E14" i="81"/>
  <c r="M968" i="94"/>
  <c r="B23" i="38"/>
  <c r="B9" i="38"/>
  <c r="S91" i="37"/>
  <c r="J50" i="98"/>
  <c r="J54" i="98" s="1"/>
  <c r="J46" i="98"/>
  <c r="S91" i="22"/>
  <c r="B23" i="23"/>
  <c r="B9" i="23"/>
  <c r="V26" i="65" l="1"/>
  <c r="D88" i="103" s="1"/>
  <c r="D93" i="103" s="1"/>
  <c r="D17" i="56"/>
  <c r="E11" i="56"/>
  <c r="K59" i="63"/>
  <c r="F60" i="63"/>
  <c r="K60" i="63" s="1"/>
  <c r="F72" i="63"/>
  <c r="O87" i="94"/>
  <c r="E11" i="50"/>
  <c r="A47" i="50"/>
  <c r="E13" i="50"/>
  <c r="E14" i="50"/>
  <c r="E15" i="50"/>
  <c r="G11" i="64"/>
  <c r="I55" i="51"/>
  <c r="J16" i="80"/>
  <c r="K16" i="80" s="1"/>
  <c r="B68" i="51"/>
  <c r="N66" i="57"/>
  <c r="E14" i="56"/>
  <c r="Y49" i="62"/>
  <c r="N19" i="74" s="1"/>
  <c r="N24" i="74" s="1"/>
  <c r="N39" i="74" s="1"/>
  <c r="E66" i="57"/>
  <c r="E80" i="57" s="1"/>
  <c r="E94" i="57" s="1"/>
  <c r="L19" i="74"/>
  <c r="Y48" i="62"/>
  <c r="L46" i="98"/>
  <c r="E12" i="50"/>
  <c r="F58" i="57"/>
  <c r="K58" i="57" s="1"/>
  <c r="L58" i="57" s="1"/>
  <c r="E60" i="63"/>
  <c r="D113" i="56"/>
  <c r="J15" i="51"/>
  <c r="F56" i="57"/>
  <c r="F990" i="94"/>
  <c r="E1050" i="94"/>
  <c r="I1014" i="94"/>
  <c r="I1016" i="94" s="1"/>
  <c r="I1035" i="94" s="1"/>
  <c r="I1064" i="94" s="1"/>
  <c r="I1071" i="94" s="1"/>
  <c r="I1003" i="94"/>
  <c r="E1057" i="94"/>
  <c r="I1050" i="94"/>
  <c r="J1034" i="94"/>
  <c r="G1050" i="94"/>
  <c r="L990" i="94"/>
  <c r="L1001" i="94"/>
  <c r="L1016" i="94" s="1"/>
  <c r="L1035" i="94" s="1"/>
  <c r="Q36" i="62"/>
  <c r="G13" i="81" s="1"/>
  <c r="Q35" i="62"/>
  <c r="H1001" i="94"/>
  <c r="H990" i="94"/>
  <c r="D1001" i="94"/>
  <c r="D990" i="94"/>
  <c r="D68" i="56"/>
  <c r="B66" i="57"/>
  <c r="B61" i="65" s="1"/>
  <c r="J31" i="63"/>
  <c r="F54" i="57"/>
  <c r="D58" i="50"/>
  <c r="J990" i="94"/>
  <c r="J1001" i="94"/>
  <c r="J1016" i="94" s="1"/>
  <c r="J1035" i="94" s="1"/>
  <c r="I1062" i="94"/>
  <c r="G1014" i="94"/>
  <c r="G1016" i="94" s="1"/>
  <c r="G1003" i="94"/>
  <c r="H1057" i="94"/>
  <c r="B51" i="57"/>
  <c r="L98" i="62"/>
  <c r="L935" i="94" s="1"/>
  <c r="L938" i="94" s="1"/>
  <c r="F57" i="57"/>
  <c r="D107" i="56"/>
  <c r="D115" i="56" s="1"/>
  <c r="F70" i="57"/>
  <c r="F73" i="57" s="1"/>
  <c r="L46" i="51"/>
  <c r="L54" i="51" s="1"/>
  <c r="L56" i="51" s="1"/>
  <c r="M12" i="73" s="1"/>
  <c r="H1050" i="94"/>
  <c r="AJ19" i="100"/>
  <c r="AB24" i="100"/>
  <c r="AB45" i="100" s="1"/>
  <c r="D1014" i="94"/>
  <c r="D1003" i="94"/>
  <c r="K987" i="94"/>
  <c r="K1035" i="94" s="1"/>
  <c r="K1064" i="94" s="1"/>
  <c r="K1071" i="94" s="1"/>
  <c r="L1034" i="94"/>
  <c r="G1034" i="94"/>
  <c r="D1050" i="94"/>
  <c r="J1057" i="94"/>
  <c r="E72" i="63"/>
  <c r="G34" i="79"/>
  <c r="G35" i="79" s="1"/>
  <c r="K1034" i="94"/>
  <c r="E1034" i="94"/>
  <c r="M54" i="51"/>
  <c r="M56" i="51" s="1"/>
  <c r="N12" i="73" s="1"/>
  <c r="H98" i="62"/>
  <c r="H935" i="94" s="1"/>
  <c r="H938" i="94" s="1"/>
  <c r="H856" i="94"/>
  <c r="H859" i="94" s="1"/>
  <c r="E990" i="94"/>
  <c r="E1001" i="94"/>
  <c r="E1003" i="94"/>
  <c r="E1014" i="94"/>
  <c r="E1016" i="94" s="1"/>
  <c r="G990" i="94"/>
  <c r="G1001" i="94"/>
  <c r="AC45" i="100"/>
  <c r="D73" i="57"/>
  <c r="D80" i="57" s="1"/>
  <c r="D94" i="57" s="1"/>
  <c r="I1034" i="94"/>
  <c r="D1057" i="94"/>
  <c r="I1001" i="94"/>
  <c r="I990" i="94"/>
  <c r="D1034" i="94"/>
  <c r="G1057" i="94"/>
  <c r="S74" i="62"/>
  <c r="S78" i="62" s="1"/>
  <c r="E16" i="68" s="1"/>
  <c r="E17" i="68" s="1"/>
  <c r="D16" i="68"/>
  <c r="D17" i="68" s="1"/>
  <c r="AH19" i="100"/>
  <c r="P24" i="100"/>
  <c r="P45" i="100" s="1"/>
  <c r="K1001" i="94"/>
  <c r="K1016" i="94" s="1"/>
  <c r="K990" i="94"/>
  <c r="H1014" i="94"/>
  <c r="H1016" i="94" s="1"/>
  <c r="H1035" i="94" s="1"/>
  <c r="H1003" i="94"/>
  <c r="E987" i="94"/>
  <c r="E1035" i="94" s="1"/>
  <c r="E1064" i="94" s="1"/>
  <c r="E1071" i="94" s="1"/>
  <c r="L1050" i="94"/>
  <c r="F1003" i="94"/>
  <c r="F1014" i="94"/>
  <c r="F1016" i="94" s="1"/>
  <c r="F1035" i="94" s="1"/>
  <c r="F1064" i="94" s="1"/>
  <c r="F1071" i="94" s="1"/>
  <c r="C54" i="51"/>
  <c r="J1003" i="94"/>
  <c r="F50" i="57"/>
  <c r="E91" i="62"/>
  <c r="M136" i="63"/>
  <c r="E190" i="63" s="1"/>
  <c r="D64" i="50"/>
  <c r="H88" i="63"/>
  <c r="F36" i="51"/>
  <c r="K49" i="101"/>
  <c r="K53" i="101" s="1"/>
  <c r="G26" i="57"/>
  <c r="J49" i="101"/>
  <c r="J53" i="101" s="1"/>
  <c r="F27" i="57"/>
  <c r="G23" i="57"/>
  <c r="E88" i="63"/>
  <c r="D61" i="50"/>
  <c r="D34" i="103"/>
  <c r="D39" i="103" s="1"/>
  <c r="J45" i="65"/>
  <c r="J46" i="65" s="1"/>
  <c r="S19" i="65"/>
  <c r="S20" i="65" s="1"/>
  <c r="D24" i="65"/>
  <c r="D26" i="65" s="1"/>
  <c r="Z26" i="65"/>
  <c r="Z45" i="65" s="1"/>
  <c r="Z74" i="65" s="1"/>
  <c r="Z75" i="65" s="1"/>
  <c r="Q19" i="65"/>
  <c r="Q20" i="65" s="1"/>
  <c r="R26" i="65"/>
  <c r="R27" i="65" s="1"/>
  <c r="K26" i="65"/>
  <c r="K27" i="65" s="1"/>
  <c r="H24" i="65"/>
  <c r="H26" i="65" s="1"/>
  <c r="H27" i="65" s="1"/>
  <c r="N26" i="65"/>
  <c r="N27" i="65" s="1"/>
  <c r="I19" i="65"/>
  <c r="I20" i="65" s="1"/>
  <c r="I26" i="65" s="1"/>
  <c r="S23" i="65"/>
  <c r="S24" i="65" s="1"/>
  <c r="S26" i="65" s="1"/>
  <c r="E70" i="103" s="1"/>
  <c r="X26" i="65"/>
  <c r="X45" i="65" s="1"/>
  <c r="V45" i="65"/>
  <c r="V27" i="65"/>
  <c r="F24" i="65"/>
  <c r="T26" i="65"/>
  <c r="T45" i="65" s="1"/>
  <c r="D25" i="103"/>
  <c r="D30" i="103" s="1"/>
  <c r="B23" i="65"/>
  <c r="B24" i="65" s="1"/>
  <c r="E20" i="65"/>
  <c r="E26" i="65" s="1"/>
  <c r="E7" i="103" s="1"/>
  <c r="F190" i="63"/>
  <c r="G190" i="63"/>
  <c r="J39" i="41"/>
  <c r="G11" i="73" s="1"/>
  <c r="I11" i="73"/>
  <c r="K16" i="65"/>
  <c r="F9" i="63"/>
  <c r="H9" i="63" s="1"/>
  <c r="D96" i="63"/>
  <c r="D102" i="63" s="1"/>
  <c r="J67" i="63"/>
  <c r="K128" i="63"/>
  <c r="O128" i="63"/>
  <c r="G96" i="63"/>
  <c r="F96" i="63"/>
  <c r="J96" i="63"/>
  <c r="L128" i="63"/>
  <c r="D67" i="63"/>
  <c r="H128" i="63"/>
  <c r="I96" i="63"/>
  <c r="I128" i="63"/>
  <c r="E67" i="63"/>
  <c r="E128" i="63"/>
  <c r="D128" i="63"/>
  <c r="N128" i="63"/>
  <c r="D38" i="63"/>
  <c r="F38" i="63"/>
  <c r="H67" i="63"/>
  <c r="E96" i="63"/>
  <c r="J128" i="63"/>
  <c r="F128" i="63"/>
  <c r="I67" i="63"/>
  <c r="I75" i="63" s="1"/>
  <c r="E38" i="63"/>
  <c r="H38" i="63"/>
  <c r="G128" i="63"/>
  <c r="F67" i="63"/>
  <c r="J39" i="26"/>
  <c r="G18" i="73" s="1"/>
  <c r="K18" i="73"/>
  <c r="P131" i="63"/>
  <c r="I42" i="63"/>
  <c r="P133" i="63"/>
  <c r="I16" i="65"/>
  <c r="E24" i="103"/>
  <c r="M21" i="80"/>
  <c r="K21" i="80"/>
  <c r="O21" i="80"/>
  <c r="P132" i="63"/>
  <c r="J38" i="16"/>
  <c r="U53" i="65"/>
  <c r="I18" i="80"/>
  <c r="M18" i="80"/>
  <c r="O18" i="80"/>
  <c r="I22" i="73"/>
  <c r="J39" i="86"/>
  <c r="G22" i="73" s="1"/>
  <c r="C54" i="41"/>
  <c r="E6" i="103"/>
  <c r="C18" i="57"/>
  <c r="J39" i="91"/>
  <c r="G21" i="73" s="1"/>
  <c r="I21" i="73"/>
  <c r="F43" i="73"/>
  <c r="I12" i="73"/>
  <c r="O14" i="80"/>
  <c r="I14" i="80"/>
  <c r="M14" i="80"/>
  <c r="K108" i="71"/>
  <c r="I20" i="57"/>
  <c r="J39" i="21"/>
  <c r="G16" i="73" s="1"/>
  <c r="G46" i="63"/>
  <c r="G44" i="63"/>
  <c r="E15" i="103"/>
  <c r="W16" i="65"/>
  <c r="E87" i="103"/>
  <c r="J39" i="46"/>
  <c r="G13" i="73" s="1"/>
  <c r="H13" i="73"/>
  <c r="H13" i="99"/>
  <c r="N12" i="102"/>
  <c r="B15" i="65"/>
  <c r="B16" i="65" s="1"/>
  <c r="U22" i="65"/>
  <c r="U52" i="65"/>
  <c r="U14" i="65"/>
  <c r="U49" i="65"/>
  <c r="U56" i="65"/>
  <c r="U54" i="65"/>
  <c r="U23" i="65"/>
  <c r="U58" i="65"/>
  <c r="U18" i="65"/>
  <c r="U11" i="65"/>
  <c r="U19" i="65"/>
  <c r="U13" i="65"/>
  <c r="U48" i="65"/>
  <c r="I14" i="51"/>
  <c r="H19" i="98"/>
  <c r="O14" i="101"/>
  <c r="I57" i="51"/>
  <c r="K14" i="80"/>
  <c r="I37" i="63"/>
  <c r="G35" i="99"/>
  <c r="L21" i="102"/>
  <c r="M134" i="63"/>
  <c r="U10" i="65"/>
  <c r="O6" i="65"/>
  <c r="G15" i="80"/>
  <c r="I53" i="36"/>
  <c r="G24" i="65"/>
  <c r="G19" i="65"/>
  <c r="G20" i="65" s="1"/>
  <c r="J14" i="2"/>
  <c r="J15" i="2" s="1"/>
  <c r="R19" i="99"/>
  <c r="R23" i="99" s="1"/>
  <c r="G16" i="98"/>
  <c r="I46" i="36"/>
  <c r="C11" i="2"/>
  <c r="N18" i="101"/>
  <c r="C14" i="57"/>
  <c r="I48" i="36"/>
  <c r="C10" i="2"/>
  <c r="X18" i="102"/>
  <c r="X22" i="102" s="1"/>
  <c r="I10" i="64"/>
  <c r="I15" i="64" s="1"/>
  <c r="Q23" i="65"/>
  <c r="Q24" i="65" s="1"/>
  <c r="E11" i="63"/>
  <c r="W19" i="65"/>
  <c r="W20" i="65" s="1"/>
  <c r="W23" i="65"/>
  <c r="W24" i="65" s="1"/>
  <c r="E34" i="103"/>
  <c r="F20" i="65"/>
  <c r="P24" i="65"/>
  <c r="P26" i="65" s="1"/>
  <c r="B19" i="65"/>
  <c r="L24" i="65"/>
  <c r="L26" i="65" s="1"/>
  <c r="J27" i="65"/>
  <c r="D45" i="65" l="1"/>
  <c r="D27" i="65"/>
  <c r="D7" i="103"/>
  <c r="D12" i="103" s="1"/>
  <c r="F91" i="103"/>
  <c r="F90" i="103"/>
  <c r="F87" i="103"/>
  <c r="F92" i="103"/>
  <c r="J74" i="65"/>
  <c r="Z86" i="65"/>
  <c r="Z87" i="65" s="1"/>
  <c r="Z46" i="65"/>
  <c r="E27" i="65"/>
  <c r="D106" i="103"/>
  <c r="D111" i="103" s="1"/>
  <c r="F105" i="103" s="1"/>
  <c r="A136" i="56"/>
  <c r="E104" i="56"/>
  <c r="E109" i="56"/>
  <c r="E106" i="56"/>
  <c r="E111" i="56"/>
  <c r="E110" i="56"/>
  <c r="E112" i="56"/>
  <c r="E105" i="56"/>
  <c r="E103" i="56"/>
  <c r="E108" i="56"/>
  <c r="E102" i="56"/>
  <c r="G1035" i="94"/>
  <c r="G1064" i="94" s="1"/>
  <c r="G1071" i="94" s="1"/>
  <c r="A92" i="56"/>
  <c r="E62" i="56"/>
  <c r="E54" i="56"/>
  <c r="E64" i="56"/>
  <c r="E60" i="56"/>
  <c r="E66" i="56"/>
  <c r="E53" i="56"/>
  <c r="E57" i="56"/>
  <c r="E61" i="56"/>
  <c r="E58" i="56"/>
  <c r="E65" i="56"/>
  <c r="E63" i="56"/>
  <c r="L1064" i="94"/>
  <c r="L1071" i="94" s="1"/>
  <c r="E17" i="50"/>
  <c r="H190" i="63"/>
  <c r="L22" i="101"/>
  <c r="F51" i="57"/>
  <c r="O23" i="98"/>
  <c r="H24" i="80"/>
  <c r="H1064" i="94"/>
  <c r="H1071" i="94" s="1"/>
  <c r="E56" i="56"/>
  <c r="E107" i="56"/>
  <c r="J1064" i="94"/>
  <c r="J1071" i="94" s="1"/>
  <c r="L24" i="74"/>
  <c r="L39" i="74" s="1"/>
  <c r="O19" i="74"/>
  <c r="E98" i="62"/>
  <c r="E935" i="94" s="1"/>
  <c r="E938" i="94" s="1"/>
  <c r="E856" i="94"/>
  <c r="E859" i="94" s="1"/>
  <c r="M91" i="62"/>
  <c r="G52" i="57"/>
  <c r="I22" i="101"/>
  <c r="I49" i="101" s="1"/>
  <c r="I53" i="101" s="1"/>
  <c r="L24" i="80"/>
  <c r="Q23" i="98"/>
  <c r="Q40" i="98"/>
  <c r="M1003" i="94"/>
  <c r="E67" i="56"/>
  <c r="H22" i="101"/>
  <c r="H49" i="101" s="1"/>
  <c r="H53" i="101" s="1"/>
  <c r="K23" i="98"/>
  <c r="K40" i="98"/>
  <c r="J36" i="51"/>
  <c r="J38" i="51" s="1"/>
  <c r="K12" i="73" s="1"/>
  <c r="F38" i="51"/>
  <c r="D1016" i="94"/>
  <c r="M1014" i="94"/>
  <c r="O402" i="94" s="1"/>
  <c r="D68" i="50"/>
  <c r="E113" i="56"/>
  <c r="I190" i="63"/>
  <c r="D79" i="103"/>
  <c r="D190" i="63"/>
  <c r="E61" i="50"/>
  <c r="H101" i="63"/>
  <c r="H89" i="63"/>
  <c r="B80" i="57"/>
  <c r="B125" i="57"/>
  <c r="B128" i="57" s="1"/>
  <c r="J24" i="80"/>
  <c r="K54" i="57"/>
  <c r="F66" i="57"/>
  <c r="I75" i="57" s="1"/>
  <c r="Q120" i="63"/>
  <c r="E101" i="63"/>
  <c r="E89" i="63"/>
  <c r="J89" i="63" s="1"/>
  <c r="J88" i="63"/>
  <c r="E64" i="50"/>
  <c r="L14" i="102"/>
  <c r="G15" i="99"/>
  <c r="G47" i="99" s="1"/>
  <c r="E59" i="56"/>
  <c r="L11" i="64"/>
  <c r="M11" i="64"/>
  <c r="G15" i="64"/>
  <c r="M15" i="64" s="1"/>
  <c r="E13" i="56"/>
  <c r="E12" i="56"/>
  <c r="E17" i="56" s="1"/>
  <c r="A47" i="56"/>
  <c r="E15" i="56"/>
  <c r="D70" i="103"/>
  <c r="Z27" i="65"/>
  <c r="T27" i="65"/>
  <c r="F89" i="103"/>
  <c r="H45" i="65"/>
  <c r="H74" i="65" s="1"/>
  <c r="D97" i="103"/>
  <c r="D102" i="103" s="1"/>
  <c r="F98" i="103" s="1"/>
  <c r="X27" i="65"/>
  <c r="F93" i="103"/>
  <c r="F88" i="103"/>
  <c r="R45" i="65"/>
  <c r="R46" i="65" s="1"/>
  <c r="Q26" i="65"/>
  <c r="Q27" i="65" s="1"/>
  <c r="E25" i="103"/>
  <c r="I27" i="65"/>
  <c r="D52" i="103"/>
  <c r="D57" i="103" s="1"/>
  <c r="F57" i="103" s="1"/>
  <c r="W26" i="65"/>
  <c r="W27" i="65" s="1"/>
  <c r="N45" i="65"/>
  <c r="N46" i="65" s="1"/>
  <c r="S27" i="65"/>
  <c r="F26" i="65"/>
  <c r="F27" i="65" s="1"/>
  <c r="F109" i="103"/>
  <c r="F107" i="103"/>
  <c r="F111" i="103"/>
  <c r="H46" i="65"/>
  <c r="X74" i="65"/>
  <c r="X46" i="65"/>
  <c r="F25" i="103"/>
  <c r="F28" i="103"/>
  <c r="F30" i="103"/>
  <c r="F27" i="103"/>
  <c r="F26" i="103"/>
  <c r="F24" i="103"/>
  <c r="F29" i="103"/>
  <c r="V74" i="65"/>
  <c r="V46" i="65"/>
  <c r="L15" i="64"/>
  <c r="K15" i="64"/>
  <c r="I46" i="63"/>
  <c r="I19" i="73"/>
  <c r="J39" i="2"/>
  <c r="G19" i="73" s="1"/>
  <c r="H163" i="63"/>
  <c r="G163" i="63"/>
  <c r="I163" i="63"/>
  <c r="F163" i="63"/>
  <c r="D163" i="63"/>
  <c r="E163" i="63"/>
  <c r="H15" i="99"/>
  <c r="H47" i="99" s="1"/>
  <c r="N14" i="102"/>
  <c r="I73" i="63"/>
  <c r="H46" i="63"/>
  <c r="H44" i="63"/>
  <c r="I38" i="63"/>
  <c r="D73" i="63"/>
  <c r="D75" i="63"/>
  <c r="K14" i="73"/>
  <c r="J39" i="16"/>
  <c r="G14" i="73" s="1"/>
  <c r="E46" i="63"/>
  <c r="E44" i="63"/>
  <c r="N136" i="63"/>
  <c r="N134" i="63"/>
  <c r="L134" i="63"/>
  <c r="L136" i="63"/>
  <c r="C6" i="65"/>
  <c r="O7" i="65"/>
  <c r="U24" i="65"/>
  <c r="D46" i="63"/>
  <c r="F136" i="63"/>
  <c r="F134" i="63"/>
  <c r="E136" i="63"/>
  <c r="E134" i="63"/>
  <c r="F104" i="63"/>
  <c r="F102" i="63"/>
  <c r="D104" i="63"/>
  <c r="C15" i="2"/>
  <c r="D44" i="63"/>
  <c r="J136" i="63"/>
  <c r="J134" i="63"/>
  <c r="E75" i="63"/>
  <c r="E73" i="63"/>
  <c r="G104" i="63"/>
  <c r="G102" i="63"/>
  <c r="U15" i="65"/>
  <c r="F150" i="63"/>
  <c r="D150" i="63"/>
  <c r="G150" i="63"/>
  <c r="H150" i="63"/>
  <c r="E150" i="63"/>
  <c r="I150" i="63"/>
  <c r="E104" i="63"/>
  <c r="E102" i="63"/>
  <c r="I136" i="63"/>
  <c r="I134" i="63"/>
  <c r="O134" i="63"/>
  <c r="O136" i="63"/>
  <c r="D134" i="63"/>
  <c r="P128" i="63"/>
  <c r="P136" i="63" s="1"/>
  <c r="D136" i="63"/>
  <c r="I44" i="63"/>
  <c r="F75" i="63"/>
  <c r="F73" i="63"/>
  <c r="H73" i="63"/>
  <c r="H75" i="63"/>
  <c r="I102" i="63"/>
  <c r="I104" i="63"/>
  <c r="K134" i="63"/>
  <c r="K136" i="63"/>
  <c r="C55" i="57"/>
  <c r="G24" i="80"/>
  <c r="J48" i="57"/>
  <c r="J46" i="57"/>
  <c r="J30" i="57"/>
  <c r="I54" i="57"/>
  <c r="H22" i="102" s="1"/>
  <c r="H45" i="102" s="1"/>
  <c r="G40" i="98"/>
  <c r="I60" i="57"/>
  <c r="J22" i="102" s="1"/>
  <c r="J45" i="102" s="1"/>
  <c r="J49" i="102" s="1"/>
  <c r="C25" i="57"/>
  <c r="J25" i="57"/>
  <c r="I58" i="57"/>
  <c r="I22" i="102" s="1"/>
  <c r="I45" i="102" s="1"/>
  <c r="I49" i="102" s="1"/>
  <c r="J35" i="57"/>
  <c r="J24" i="73" s="1"/>
  <c r="J43" i="73" s="1"/>
  <c r="F37" i="73"/>
  <c r="F38" i="73" s="1"/>
  <c r="C64" i="57"/>
  <c r="C58" i="57"/>
  <c r="C54" i="57"/>
  <c r="N68" i="57"/>
  <c r="J44" i="57"/>
  <c r="O68" i="57"/>
  <c r="P24" i="73" s="1"/>
  <c r="P43" i="73" s="1"/>
  <c r="C62" i="57"/>
  <c r="C23" i="57"/>
  <c r="C59" i="57"/>
  <c r="G23" i="98"/>
  <c r="C30" i="57"/>
  <c r="C32" i="57" s="1"/>
  <c r="C22" i="57"/>
  <c r="N22" i="101"/>
  <c r="N49" i="101" s="1"/>
  <c r="J23" i="57"/>
  <c r="C26" i="57"/>
  <c r="J111" i="71"/>
  <c r="I111" i="71" s="1"/>
  <c r="M68" i="57"/>
  <c r="I65" i="57"/>
  <c r="K22" i="102" s="1"/>
  <c r="K45" i="102" s="1"/>
  <c r="K49" i="102" s="1"/>
  <c r="J22" i="57"/>
  <c r="J26" i="57"/>
  <c r="C60" i="57"/>
  <c r="J47" i="57"/>
  <c r="J31" i="57"/>
  <c r="J45" i="57"/>
  <c r="I23" i="57"/>
  <c r="J24" i="57"/>
  <c r="C31" i="57"/>
  <c r="J49" i="57"/>
  <c r="G26" i="65"/>
  <c r="U20" i="65"/>
  <c r="H23" i="98"/>
  <c r="H40" i="98"/>
  <c r="O22" i="101"/>
  <c r="O49" i="101" s="1"/>
  <c r="O53" i="101" s="1"/>
  <c r="I25" i="57"/>
  <c r="I69" i="57"/>
  <c r="N22" i="102" s="1"/>
  <c r="N45" i="102" s="1"/>
  <c r="N49" i="102" s="1"/>
  <c r="G134" i="63"/>
  <c r="G136" i="63"/>
  <c r="F46" i="63"/>
  <c r="F44" i="63"/>
  <c r="H134" i="63"/>
  <c r="H136" i="63"/>
  <c r="J75" i="63"/>
  <c r="J73" i="63"/>
  <c r="J86" i="65"/>
  <c r="J87" i="65" s="1"/>
  <c r="J75" i="65"/>
  <c r="D84" i="103"/>
  <c r="F79" i="103" s="1"/>
  <c r="F33" i="103"/>
  <c r="F36" i="103"/>
  <c r="F37" i="103"/>
  <c r="F38" i="103"/>
  <c r="F39" i="103"/>
  <c r="F35" i="103"/>
  <c r="C19" i="65"/>
  <c r="B20" i="65"/>
  <c r="B26" i="65" s="1"/>
  <c r="F34" i="103"/>
  <c r="P27" i="65"/>
  <c r="D61" i="103"/>
  <c r="P45" i="65"/>
  <c r="T46" i="65"/>
  <c r="T74" i="65"/>
  <c r="L27" i="65"/>
  <c r="D43" i="103"/>
  <c r="L45" i="65"/>
  <c r="F6" i="103"/>
  <c r="F11" i="103"/>
  <c r="F10" i="103"/>
  <c r="F64" i="103"/>
  <c r="F8" i="103"/>
  <c r="F63" i="103"/>
  <c r="F12" i="103"/>
  <c r="F9" i="103"/>
  <c r="D75" i="103"/>
  <c r="F70" i="103" s="1"/>
  <c r="F7" i="103"/>
  <c r="F110" i="103" l="1"/>
  <c r="E61" i="103"/>
  <c r="F108" i="103"/>
  <c r="F106" i="103"/>
  <c r="D46" i="65"/>
  <c r="D74" i="65"/>
  <c r="R47" i="99"/>
  <c r="G51" i="99"/>
  <c r="L54" i="57"/>
  <c r="L66" i="57" s="1"/>
  <c r="L68" i="57" s="1"/>
  <c r="M24" i="73" s="1"/>
  <c r="M43" i="73" s="1"/>
  <c r="K66" i="57"/>
  <c r="K68" i="57" s="1"/>
  <c r="L24" i="73" s="1"/>
  <c r="L43" i="73" s="1"/>
  <c r="L14" i="101"/>
  <c r="L49" i="101" s="1"/>
  <c r="O19" i="98"/>
  <c r="O40" i="98" s="1"/>
  <c r="F39" i="51"/>
  <c r="H16" i="80"/>
  <c r="I16" i="80" s="1"/>
  <c r="O46" i="98"/>
  <c r="Q50" i="98"/>
  <c r="Q54" i="98" s="1"/>
  <c r="Q46" i="98"/>
  <c r="G53" i="57"/>
  <c r="F80" i="57"/>
  <c r="K88" i="63"/>
  <c r="J101" i="63"/>
  <c r="K50" i="98"/>
  <c r="K54" i="98" s="1"/>
  <c r="K46" i="98"/>
  <c r="E68" i="56"/>
  <c r="J39" i="51"/>
  <c r="G12" i="73" s="1"/>
  <c r="M1016" i="94"/>
  <c r="D1035" i="94"/>
  <c r="D1064" i="94" s="1"/>
  <c r="D1071" i="94" s="1"/>
  <c r="I67" i="57"/>
  <c r="L22" i="102" s="1"/>
  <c r="L45" i="102" s="1"/>
  <c r="L49" i="102" s="1"/>
  <c r="J27" i="57"/>
  <c r="E59" i="50"/>
  <c r="E54" i="50"/>
  <c r="E62" i="50"/>
  <c r="E56" i="50"/>
  <c r="E67" i="50"/>
  <c r="E57" i="50"/>
  <c r="E65" i="50"/>
  <c r="E53" i="50"/>
  <c r="E63" i="50"/>
  <c r="E60" i="50"/>
  <c r="A92" i="50"/>
  <c r="E66" i="50"/>
  <c r="E115" i="56"/>
  <c r="H102" i="63"/>
  <c r="H104" i="63"/>
  <c r="E58" i="50"/>
  <c r="B15" i="53"/>
  <c r="S83" i="62"/>
  <c r="M856" i="94"/>
  <c r="M859" i="94" s="1"/>
  <c r="P82" i="62"/>
  <c r="B72" i="51"/>
  <c r="B77" i="51" s="1"/>
  <c r="M98" i="62"/>
  <c r="F54" i="103"/>
  <c r="F100" i="103"/>
  <c r="F102" i="103"/>
  <c r="F96" i="103"/>
  <c r="F101" i="103"/>
  <c r="F99" i="103"/>
  <c r="F52" i="103"/>
  <c r="F97" i="103"/>
  <c r="R74" i="65"/>
  <c r="R75" i="65" s="1"/>
  <c r="N74" i="65"/>
  <c r="N75" i="65" s="1"/>
  <c r="F53" i="103"/>
  <c r="F51" i="103"/>
  <c r="F55" i="103"/>
  <c r="F56" i="103"/>
  <c r="E88" i="103"/>
  <c r="F45" i="65"/>
  <c r="F46" i="65" s="1"/>
  <c r="D16" i="103"/>
  <c r="D21" i="103" s="1"/>
  <c r="F16" i="103" s="1"/>
  <c r="N86" i="65"/>
  <c r="N87" i="65" s="1"/>
  <c r="V75" i="65"/>
  <c r="V86" i="65"/>
  <c r="V87" i="65" s="1"/>
  <c r="X86" i="65"/>
  <c r="X87" i="65" s="1"/>
  <c r="X75" i="65"/>
  <c r="H86" i="65"/>
  <c r="H87" i="65" s="1"/>
  <c r="H75" i="65"/>
  <c r="H51" i="99"/>
  <c r="R51" i="99"/>
  <c r="D181" i="63"/>
  <c r="I181" i="63"/>
  <c r="H181" i="63"/>
  <c r="F181" i="63"/>
  <c r="G181" i="63"/>
  <c r="E181" i="63"/>
  <c r="H170" i="63"/>
  <c r="G170" i="63"/>
  <c r="D170" i="63"/>
  <c r="E170" i="63"/>
  <c r="F170" i="63"/>
  <c r="I170" i="63"/>
  <c r="E78" i="103"/>
  <c r="U16" i="65"/>
  <c r="F6" i="63"/>
  <c r="E16" i="65"/>
  <c r="G151" i="63"/>
  <c r="F151" i="63"/>
  <c r="I151" i="63"/>
  <c r="H151" i="63"/>
  <c r="D151" i="63"/>
  <c r="E151" i="63"/>
  <c r="G188" i="63"/>
  <c r="E188" i="63"/>
  <c r="H188" i="63"/>
  <c r="F188" i="63"/>
  <c r="D188" i="63"/>
  <c r="I188" i="63"/>
  <c r="E184" i="63"/>
  <c r="I184" i="63"/>
  <c r="F184" i="63"/>
  <c r="D184" i="63"/>
  <c r="H184" i="63"/>
  <c r="G184" i="63"/>
  <c r="X45" i="102"/>
  <c r="X49" i="102" s="1"/>
  <c r="H49" i="102"/>
  <c r="F174" i="63"/>
  <c r="G174" i="63"/>
  <c r="D174" i="63"/>
  <c r="E174" i="63"/>
  <c r="I174" i="63"/>
  <c r="H174" i="63"/>
  <c r="F183" i="63"/>
  <c r="D183" i="63"/>
  <c r="I183" i="63"/>
  <c r="H183" i="63"/>
  <c r="E183" i="63"/>
  <c r="G183" i="63"/>
  <c r="E191" i="63"/>
  <c r="H191" i="63"/>
  <c r="D191" i="63"/>
  <c r="F191" i="63"/>
  <c r="I191" i="63"/>
  <c r="G191" i="63"/>
  <c r="H46" i="98"/>
  <c r="H50" i="98"/>
  <c r="H54" i="98" s="1"/>
  <c r="G27" i="65"/>
  <c r="E16" i="103"/>
  <c r="J32" i="57"/>
  <c r="H24" i="73" s="1"/>
  <c r="H43" i="73" s="1"/>
  <c r="P134" i="63"/>
  <c r="G172" i="63"/>
  <c r="I172" i="63"/>
  <c r="F172" i="63"/>
  <c r="H172" i="63"/>
  <c r="E172" i="63"/>
  <c r="D172" i="63"/>
  <c r="D147" i="63"/>
  <c r="E147" i="63"/>
  <c r="I147" i="63"/>
  <c r="I152" i="63" s="1"/>
  <c r="H147" i="63"/>
  <c r="G147" i="63"/>
  <c r="F147" i="63"/>
  <c r="D149" i="63"/>
  <c r="F149" i="63"/>
  <c r="G149" i="63"/>
  <c r="H149" i="63"/>
  <c r="E149" i="63"/>
  <c r="I149" i="63"/>
  <c r="G46" i="98"/>
  <c r="G50" i="98"/>
  <c r="F160" i="63"/>
  <c r="E160" i="63"/>
  <c r="H160" i="63"/>
  <c r="G160" i="63"/>
  <c r="I160" i="63"/>
  <c r="D160" i="63"/>
  <c r="H192" i="63"/>
  <c r="F192" i="63"/>
  <c r="I192" i="63"/>
  <c r="E192" i="63"/>
  <c r="G192" i="63"/>
  <c r="D192" i="63"/>
  <c r="G169" i="63"/>
  <c r="I169" i="63"/>
  <c r="D169" i="63"/>
  <c r="E169" i="63"/>
  <c r="F169" i="63"/>
  <c r="H169" i="63"/>
  <c r="U26" i="65"/>
  <c r="I148" i="63"/>
  <c r="D148" i="63"/>
  <c r="F148" i="63"/>
  <c r="H148" i="63"/>
  <c r="E148" i="63"/>
  <c r="G148" i="63"/>
  <c r="G182" i="63"/>
  <c r="D182" i="63"/>
  <c r="I182" i="63"/>
  <c r="H182" i="63"/>
  <c r="F182" i="63"/>
  <c r="E182" i="63"/>
  <c r="I156" i="63"/>
  <c r="E156" i="63"/>
  <c r="G156" i="63"/>
  <c r="F156" i="63"/>
  <c r="H156" i="63"/>
  <c r="D156" i="63"/>
  <c r="F155" i="63"/>
  <c r="H155" i="63"/>
  <c r="I155" i="63"/>
  <c r="I157" i="63" s="1"/>
  <c r="D155" i="63"/>
  <c r="E155" i="63"/>
  <c r="E157" i="63" s="1"/>
  <c r="G155" i="63"/>
  <c r="G157" i="63" s="1"/>
  <c r="H185" i="63"/>
  <c r="G185" i="63"/>
  <c r="D185" i="63"/>
  <c r="F185" i="63"/>
  <c r="E185" i="63"/>
  <c r="I185" i="63"/>
  <c r="N53" i="101"/>
  <c r="J50" i="57"/>
  <c r="K24" i="73" s="1"/>
  <c r="K43" i="73" s="1"/>
  <c r="O24" i="80"/>
  <c r="I24" i="80"/>
  <c r="K24" i="80"/>
  <c r="M24" i="80"/>
  <c r="F171" i="63"/>
  <c r="E171" i="63"/>
  <c r="I171" i="63"/>
  <c r="H171" i="63"/>
  <c r="D171" i="63"/>
  <c r="G171" i="63"/>
  <c r="C53" i="65"/>
  <c r="C18" i="65"/>
  <c r="C20" i="65" s="1"/>
  <c r="C56" i="65"/>
  <c r="C7" i="65"/>
  <c r="C10" i="65"/>
  <c r="C54" i="65"/>
  <c r="C48" i="65"/>
  <c r="C49" i="65"/>
  <c r="C14" i="65"/>
  <c r="C52" i="65"/>
  <c r="C13" i="65"/>
  <c r="C22" i="65"/>
  <c r="C58" i="65"/>
  <c r="C23" i="65"/>
  <c r="C11" i="65"/>
  <c r="I24" i="73"/>
  <c r="I43" i="73" s="1"/>
  <c r="H166" i="63"/>
  <c r="F166" i="63"/>
  <c r="G166" i="63"/>
  <c r="I166" i="63"/>
  <c r="D166" i="63"/>
  <c r="E166" i="63"/>
  <c r="C27" i="57"/>
  <c r="O24" i="73"/>
  <c r="O43" i="73" s="1"/>
  <c r="N24" i="73"/>
  <c r="N43" i="73" s="1"/>
  <c r="D186" i="63"/>
  <c r="H186" i="63"/>
  <c r="G186" i="63"/>
  <c r="I186" i="63"/>
  <c r="E186" i="63"/>
  <c r="F186" i="63"/>
  <c r="H187" i="63"/>
  <c r="I187" i="63"/>
  <c r="G187" i="63"/>
  <c r="E187" i="63"/>
  <c r="F187" i="63"/>
  <c r="D187" i="63"/>
  <c r="D189" i="63"/>
  <c r="H189" i="63"/>
  <c r="E189" i="63"/>
  <c r="G189" i="63"/>
  <c r="F189" i="63"/>
  <c r="I189" i="63"/>
  <c r="B27" i="65"/>
  <c r="B45" i="65"/>
  <c r="L74" i="65"/>
  <c r="L46" i="65"/>
  <c r="T86" i="65"/>
  <c r="T87" i="65" s="1"/>
  <c r="T75" i="65"/>
  <c r="D48" i="103"/>
  <c r="F73" i="103"/>
  <c r="F69" i="103"/>
  <c r="F74" i="103"/>
  <c r="F71" i="103"/>
  <c r="F72" i="103"/>
  <c r="F75" i="103"/>
  <c r="P46" i="65"/>
  <c r="P74" i="65"/>
  <c r="D66" i="103"/>
  <c r="F61" i="103" s="1"/>
  <c r="F81" i="103"/>
  <c r="F78" i="103"/>
  <c r="F84" i="103"/>
  <c r="F82" i="103"/>
  <c r="F80" i="103"/>
  <c r="F83" i="103"/>
  <c r="D86" i="65" l="1"/>
  <c r="D87" i="65" s="1"/>
  <c r="D75" i="65"/>
  <c r="L53" i="101"/>
  <c r="B80" i="51"/>
  <c r="B82" i="51" s="1"/>
  <c r="F77" i="51"/>
  <c r="F80" i="51" s="1"/>
  <c r="C24" i="65"/>
  <c r="O416" i="94"/>
  <c r="M1035" i="94"/>
  <c r="F68" i="51"/>
  <c r="F82" i="51" s="1"/>
  <c r="F83" i="51" s="1"/>
  <c r="D13" i="81" s="1"/>
  <c r="G41" i="51"/>
  <c r="B84" i="57"/>
  <c r="B89" i="57" s="1"/>
  <c r="G175" i="63"/>
  <c r="B9" i="88"/>
  <c r="M22" i="101"/>
  <c r="I23" i="98"/>
  <c r="I51" i="57"/>
  <c r="I53" i="57"/>
  <c r="S85" i="62"/>
  <c r="E68" i="50"/>
  <c r="R98" i="62"/>
  <c r="G64" i="62" s="1"/>
  <c r="M935" i="94"/>
  <c r="M938" i="94" s="1"/>
  <c r="M106" i="62"/>
  <c r="I173" i="63"/>
  <c r="I175" i="63" s="1"/>
  <c r="I176" i="63" s="1"/>
  <c r="I196" i="63" s="1"/>
  <c r="G173" i="63"/>
  <c r="F173" i="63"/>
  <c r="E173" i="63"/>
  <c r="E175" i="63" s="1"/>
  <c r="E176" i="63" s="1"/>
  <c r="H173" i="63"/>
  <c r="D173" i="63"/>
  <c r="J104" i="63"/>
  <c r="J102" i="63"/>
  <c r="O50" i="98"/>
  <c r="O54" i="98" s="1"/>
  <c r="F74" i="65"/>
  <c r="D116" i="103"/>
  <c r="D121" i="103" s="1"/>
  <c r="R86" i="65"/>
  <c r="R87" i="65" s="1"/>
  <c r="G176" i="63"/>
  <c r="E193" i="63"/>
  <c r="C26" i="65"/>
  <c r="E152" i="63"/>
  <c r="G193" i="63"/>
  <c r="C15" i="65"/>
  <c r="C16" i="65" s="1"/>
  <c r="E79" i="103"/>
  <c r="U27" i="65"/>
  <c r="H175" i="63"/>
  <c r="H176" i="63" s="1"/>
  <c r="H193" i="63"/>
  <c r="F193" i="63"/>
  <c r="D157" i="63"/>
  <c r="F175" i="63"/>
  <c r="I193" i="63"/>
  <c r="G54" i="98"/>
  <c r="F152" i="63"/>
  <c r="D193" i="63"/>
  <c r="H157" i="63"/>
  <c r="D175" i="63"/>
  <c r="G152" i="63"/>
  <c r="D152" i="63"/>
  <c r="J51" i="57"/>
  <c r="G24" i="73" s="1"/>
  <c r="G43" i="73" s="1"/>
  <c r="F157" i="63"/>
  <c r="H152" i="63"/>
  <c r="F15" i="63"/>
  <c r="H6" i="63"/>
  <c r="F48" i="103"/>
  <c r="F44" i="103"/>
  <c r="F46" i="103"/>
  <c r="F42" i="103"/>
  <c r="F47" i="103"/>
  <c r="F45" i="103"/>
  <c r="F65" i="103"/>
  <c r="F62" i="103"/>
  <c r="F60" i="103"/>
  <c r="F66" i="103"/>
  <c r="F43" i="103"/>
  <c r="F19" i="103"/>
  <c r="F21" i="103"/>
  <c r="F15" i="103"/>
  <c r="F18" i="103"/>
  <c r="F17" i="103"/>
  <c r="F20" i="103"/>
  <c r="L86" i="65"/>
  <c r="L87" i="65" s="1"/>
  <c r="L75" i="65"/>
  <c r="F86" i="65"/>
  <c r="F87" i="65" s="1"/>
  <c r="F75" i="65"/>
  <c r="P75" i="65"/>
  <c r="P86" i="65"/>
  <c r="P87" i="65" s="1"/>
  <c r="B74" i="65"/>
  <c r="B46" i="65"/>
  <c r="B92" i="57" l="1"/>
  <c r="B94" i="57" s="1"/>
  <c r="F89" i="57"/>
  <c r="F92" i="57" s="1"/>
  <c r="F94" i="57" s="1"/>
  <c r="F95" i="57" s="1"/>
  <c r="M1064" i="94"/>
  <c r="O567" i="94"/>
  <c r="G196" i="63"/>
  <c r="B19" i="53"/>
  <c r="S89" i="62"/>
  <c r="M967" i="94"/>
  <c r="M970" i="94" s="1"/>
  <c r="M107" i="62"/>
  <c r="E13" i="81" s="1"/>
  <c r="I46" i="98"/>
  <c r="I19" i="98"/>
  <c r="I40" i="98" s="1"/>
  <c r="I39" i="51"/>
  <c r="M14" i="101"/>
  <c r="M49" i="101" s="1"/>
  <c r="I41" i="51"/>
  <c r="H196" i="63"/>
  <c r="E196" i="63"/>
  <c r="H17" i="63"/>
  <c r="H15" i="63"/>
  <c r="D176" i="63"/>
  <c r="D196" i="63" s="1"/>
  <c r="F176" i="63"/>
  <c r="F196" i="63" s="1"/>
  <c r="D124" i="103"/>
  <c r="F121" i="103"/>
  <c r="F120" i="103"/>
  <c r="F115" i="103"/>
  <c r="F119" i="103"/>
  <c r="F118" i="103"/>
  <c r="F117" i="103"/>
  <c r="F116" i="103"/>
  <c r="B86" i="65"/>
  <c r="B75" i="65"/>
  <c r="M53" i="101" l="1"/>
  <c r="R49" i="101"/>
  <c r="R53" i="101" s="1"/>
  <c r="B23" i="53"/>
  <c r="B9" i="53" s="1"/>
  <c r="S91" i="62"/>
  <c r="M1071" i="94"/>
  <c r="O938" i="94" s="1"/>
  <c r="O859" i="94"/>
  <c r="I50" i="98"/>
  <c r="B91" i="65"/>
  <c r="B87" i="65"/>
  <c r="B88" i="65"/>
  <c r="I54" i="98" l="1"/>
  <c r="T50" i="98"/>
  <c r="T54" i="98" s="1"/>
  <c r="R43" i="73"/>
</calcChain>
</file>

<file path=xl/comments1.xml><?xml version="1.0" encoding="utf-8"?>
<comments xmlns="http://schemas.openxmlformats.org/spreadsheetml/2006/main">
  <authors>
    <author>..</author>
  </authors>
  <commentList>
    <comment ref="Q10" authorId="0" shapeId="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1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1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1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1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1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2.xml><?xml version="1.0" encoding="utf-8"?>
<comments xmlns="http://schemas.openxmlformats.org/spreadsheetml/2006/main">
  <authors>
    <author>..</author>
    <author>beinkejt</author>
  </authors>
  <commentList>
    <comment ref="I22" authorId="0" shapeId="0">
      <text>
        <r>
          <rPr>
            <b/>
            <sz val="9"/>
            <color indexed="81"/>
            <rFont val="Tahoma"/>
            <family val="2"/>
          </rPr>
          <t>..:</t>
        </r>
        <r>
          <rPr>
            <sz val="9"/>
            <color indexed="81"/>
            <rFont val="Tahoma"/>
            <family val="2"/>
          </rPr>
          <t xml:space="preserve">
State Appropriations per Full Time Student Equivalent.</t>
        </r>
      </text>
    </comment>
    <comment ref="I24" authorId="0" shapeId="0">
      <text>
        <r>
          <rPr>
            <b/>
            <sz val="9"/>
            <color indexed="81"/>
            <rFont val="Tahoma"/>
            <family val="2"/>
          </rPr>
          <t>..:</t>
        </r>
        <r>
          <rPr>
            <sz val="9"/>
            <color indexed="81"/>
            <rFont val="Tahoma"/>
            <family val="2"/>
          </rPr>
          <t xml:space="preserve">
State Appropriations per Full -Time Faculty Equivalent.</t>
        </r>
      </text>
    </comment>
    <comment ref="I50" authorId="0" shapeId="0">
      <text>
        <r>
          <rPr>
            <b/>
            <sz val="9"/>
            <color indexed="81"/>
            <rFont val="Tahoma"/>
            <family val="2"/>
          </rPr>
          <t>..:</t>
        </r>
        <r>
          <rPr>
            <sz val="9"/>
            <color indexed="81"/>
            <rFont val="Tahoma"/>
            <family val="2"/>
          </rPr>
          <t xml:space="preserve">
Total Revenue Net of Constitutional Funds Per FTSE.</t>
        </r>
      </text>
    </comment>
    <comment ref="I52" authorId="0" shapeId="0">
      <text>
        <r>
          <rPr>
            <b/>
            <sz val="9"/>
            <color indexed="81"/>
            <rFont val="Tahoma"/>
            <family val="2"/>
          </rPr>
          <t>..:</t>
        </r>
        <r>
          <rPr>
            <sz val="9"/>
            <color indexed="81"/>
            <rFont val="Tahoma"/>
            <family val="2"/>
          </rPr>
          <t xml:space="preserve">
Total Revenue Net of Constitutional Funds Per Full Time Faculty Equivalent.</t>
        </r>
      </text>
    </comment>
    <comment ref="I66" authorId="1" shapeId="0">
      <text>
        <r>
          <rPr>
            <sz val="8"/>
            <color indexed="81"/>
            <rFont val="Tahoma"/>
            <family val="2"/>
          </rPr>
          <t>Operating Expenses per FTSE - Includes Capital Outlay and Excludes Aux. &amp; Public Service and Hospitals.</t>
        </r>
      </text>
    </comment>
    <comment ref="I68" authorId="1" shapeId="0">
      <text>
        <r>
          <rPr>
            <sz val="8"/>
            <color indexed="81"/>
            <rFont val="Tahoma"/>
            <family val="2"/>
          </rPr>
          <t>Operating Expenses per FTEFac - Includes Capital Outlay and Excludes Aux. &amp; Public Service and Hospitals.</t>
        </r>
      </text>
    </comment>
  </commentList>
</comments>
</file>

<file path=xl/comments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8.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comments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8" authorId="0" shapeId="0">
      <text>
        <r>
          <rPr>
            <b/>
            <sz val="9"/>
            <color indexed="81"/>
            <rFont val="Tahoma"/>
            <family val="2"/>
          </rPr>
          <t>..:</t>
        </r>
        <r>
          <rPr>
            <sz val="9"/>
            <color indexed="81"/>
            <rFont val="Tahoma"/>
            <family val="2"/>
          </rPr>
          <t xml:space="preserve">
Total Revenue Net of Constitutional Funds Per FTSE.</t>
        </r>
      </text>
    </comment>
    <comment ref="I40" authorId="0" shapeId="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text>
        <r>
          <rPr>
            <sz val="8"/>
            <color indexed="81"/>
            <rFont val="Tahoma"/>
            <family val="2"/>
          </rPr>
          <t>Operating Expenses per FTSE - Includes Capital Outlay and Excludes Aux. &amp; Public Service and Hospitals.</t>
        </r>
      </text>
    </comment>
    <comment ref="I56" authorId="1" shapeId="0">
      <text>
        <r>
          <rPr>
            <sz val="8"/>
            <color indexed="81"/>
            <rFont val="Tahoma"/>
            <family val="2"/>
          </rPr>
          <t>Operating Expenses per FTEFac - Includes Capital Outlay and Excludes Aux. &amp; Public Service and Hospitals.</t>
        </r>
      </text>
    </comment>
  </commentList>
</comments>
</file>

<file path=xl/sharedStrings.xml><?xml version="1.0" encoding="utf-8"?>
<sst xmlns="http://schemas.openxmlformats.org/spreadsheetml/2006/main" count="7929" uniqueCount="1720">
  <si>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</si>
  <si>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</si>
  <si>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</si>
  <si>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</si>
  <si>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</si>
  <si>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</si>
  <si>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</si>
  <si>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</si>
  <si>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</si>
  <si>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</si>
  <si>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</si>
  <si>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</si>
  <si>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</si>
  <si>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</si>
  <si>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</si>
  <si>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</si>
  <si>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</si>
  <si>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</si>
  <si>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</si>
  <si>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</si>
  <si>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</si>
  <si>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</si>
  <si>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</si>
  <si>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</si>
  <si>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</si>
  <si>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</si>
  <si>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</si>
  <si>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</si>
  <si>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</si>
  <si>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</si>
  <si>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</si>
  <si>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</si>
  <si>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</si>
  <si>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</si>
  <si>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</si>
  <si>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</si>
  <si>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</si>
  <si>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</si>
  <si>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</si>
  <si>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</si>
  <si>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</si>
  <si>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</si>
  <si>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</si>
  <si>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</si>
  <si>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</si>
  <si>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</si>
  <si>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</si>
  <si>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</si>
  <si>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Other Income</t>
  </si>
  <si>
    <t>Other Expenses</t>
  </si>
  <si>
    <t>Mandatory and Non-mandatory Transfers (See FN11)</t>
  </si>
  <si>
    <t xml:space="preserve"> </t>
  </si>
  <si>
    <t>Bond Transfers In  (See FN4)</t>
  </si>
  <si>
    <t>Bond Transfers In (See FN4)</t>
  </si>
  <si>
    <t>Sales and Services - Educational Activities (Net)</t>
  </si>
  <si>
    <t>Hospitals and Clinics</t>
  </si>
  <si>
    <t>All Sources (Net)</t>
  </si>
  <si>
    <t>Professional Fees</t>
  </si>
  <si>
    <t>Hospitals, Clinics, Professional Fees</t>
  </si>
  <si>
    <t>Check</t>
  </si>
  <si>
    <t>May not add to 100% due to rounding.</t>
  </si>
  <si>
    <t>Total Sources Over / (Under) Uses (See FN 10)</t>
  </si>
  <si>
    <t>Capital Outlay from Current Fund Sources*</t>
  </si>
  <si>
    <t>Capital Outlay from Non-Current Fund Sources**</t>
  </si>
  <si>
    <t>Change in Net Assets  (Total Agrees with AFR***)</t>
  </si>
  <si>
    <t>Capital Outlay from Current Fund Sources</t>
  </si>
  <si>
    <t>Capital Outlay from Non-Current Fund Sources</t>
  </si>
  <si>
    <t>Basis for Graphs - Not Printed</t>
  </si>
  <si>
    <t>$ are needed on all amounts in order to print on graph.</t>
  </si>
  <si>
    <t>Depreciation Expense</t>
  </si>
  <si>
    <t xml:space="preserve">Capital Outlay </t>
  </si>
  <si>
    <t>Total Operating Sources</t>
  </si>
  <si>
    <t>Total Operating Uses</t>
  </si>
  <si>
    <t>Non-operating Funds are not included in charts above.  See following page (Summary).</t>
  </si>
  <si>
    <t>Operating Sources</t>
  </si>
  <si>
    <t>Operating Uses</t>
  </si>
  <si>
    <t>State Grants &amp; Contracts</t>
  </si>
  <si>
    <t>Tuition &amp; Fees</t>
  </si>
  <si>
    <t>Federal Grants &amp; Contracts</t>
  </si>
  <si>
    <t>Endowment &amp; Interest Income</t>
  </si>
  <si>
    <t>Private Gifts &amp; Grants</t>
  </si>
  <si>
    <t>Sales &amp; Services</t>
  </si>
  <si>
    <t>Operations &amp; Maintenance of Plant</t>
  </si>
  <si>
    <t>Scholarships &amp; Fellowships</t>
  </si>
  <si>
    <t>Hospitals &amp; Clinics</t>
  </si>
  <si>
    <t>**Defined as any capital outlay expense from funds other than Educational &amp; General, Designated, Auxiliary, or Restricted Expendable.</t>
  </si>
  <si>
    <t>Constitutional Funds Revenue</t>
  </si>
  <si>
    <t>Tuition and Fees</t>
  </si>
  <si>
    <t>Institutional Funds Revenue</t>
  </si>
  <si>
    <t>Total Revenue</t>
  </si>
  <si>
    <t>Amount</t>
  </si>
  <si>
    <t>Difference (Must be "0".)</t>
  </si>
  <si>
    <t>Data Entry Area</t>
  </si>
  <si>
    <t>The University of Texas Southwestern Medical Center at Dallas</t>
  </si>
  <si>
    <t>Transfer of Capital Asset(s) from System</t>
  </si>
  <si>
    <t>Research Development Funds/ Texas Competitive Knowledge Fund</t>
  </si>
  <si>
    <t>Research Development Funds/ Texas Competitive Knowledge Funds</t>
  </si>
  <si>
    <t>The University of Texas Medical Branch at Galveston</t>
  </si>
  <si>
    <t>The University of Texas Health Science Center at Houston</t>
  </si>
  <si>
    <t>The University of Texas Health Science Center at San Antonio</t>
  </si>
  <si>
    <t>The University of Texas M.D. Anderson Cancer Center</t>
  </si>
  <si>
    <t>The University of Texas Health Center at Tyler</t>
  </si>
  <si>
    <t>Texas A&amp;M University System Health Science Center</t>
  </si>
  <si>
    <t>Other Post-Employment Benefit (OPEB) Expense</t>
  </si>
  <si>
    <t>University of North Texas Health Science Center at Fort Worth</t>
  </si>
  <si>
    <t>Research Development Funds</t>
  </si>
  <si>
    <t>Texas Tech University Health Sciences Center</t>
  </si>
  <si>
    <t>FICE Code</t>
  </si>
  <si>
    <t>Year</t>
  </si>
  <si>
    <t>000030</t>
  </si>
  <si>
    <t>UT Southwestern Med.</t>
  </si>
  <si>
    <t>000040</t>
  </si>
  <si>
    <t>UT San Antonio HSC</t>
  </si>
  <si>
    <t>000089</t>
  </si>
  <si>
    <t>Texas A&amp;M HSC</t>
  </si>
  <si>
    <t>000130</t>
  </si>
  <si>
    <t>U. North Texas HSC</t>
  </si>
  <si>
    <t>000404</t>
  </si>
  <si>
    <t>UT Health Center Tyler</t>
  </si>
  <si>
    <t>000412</t>
  </si>
  <si>
    <t>Texas Tech HSC</t>
  </si>
  <si>
    <t>011618</t>
  </si>
  <si>
    <t>UT Houston Health Science Center</t>
  </si>
  <si>
    <t>025554</t>
  </si>
  <si>
    <t>UT M. D. Anderson</t>
  </si>
  <si>
    <t>UT Galveston Medical Branch</t>
  </si>
  <si>
    <t>Statewide Total</t>
  </si>
  <si>
    <t xml:space="preserve">Total of </t>
  </si>
  <si>
    <t>Sources &amp; Uses Line items</t>
  </si>
  <si>
    <t>Notes:</t>
  </si>
  <si>
    <t xml:space="preserve">   Includes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</si>
  <si>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</si>
  <si>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</si>
  <si>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</si>
  <si>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Summary of All Health-Related Institutions</t>
  </si>
  <si>
    <t>Pie 2"</t>
  </si>
  <si>
    <t>Per FTSE</t>
  </si>
  <si>
    <t>Note:  Due to the nature of M.D. Anderson's operations and the small number of students, no per student amounts were</t>
  </si>
  <si>
    <t xml:space="preserve">          calculated. </t>
  </si>
  <si>
    <t>See Note Below</t>
  </si>
  <si>
    <t>Note:  Due to the nature of operations at the Health Center, the institution does not have any enrolled students.</t>
  </si>
  <si>
    <t>Non-Cash Capital Gifts</t>
  </si>
  <si>
    <t>Medical School Funding Costs</t>
  </si>
  <si>
    <t>All State Appropriations</t>
  </si>
  <si>
    <t>Selected Institutions</t>
  </si>
  <si>
    <t>Average</t>
  </si>
  <si>
    <t>All Institutions</t>
  </si>
  <si>
    <t>Operating Uses per FTSE</t>
  </si>
  <si>
    <t>Average per FTSE</t>
  </si>
  <si>
    <t>FY 2010</t>
  </si>
  <si>
    <t>FY 2011</t>
  </si>
  <si>
    <t>FY 2012</t>
  </si>
  <si>
    <t>FY 2013</t>
  </si>
  <si>
    <t>FY 2014</t>
  </si>
  <si>
    <t>FY 2015</t>
  </si>
  <si>
    <t>Students</t>
  </si>
  <si>
    <t>Faculty</t>
  </si>
  <si>
    <t>Select Institutions</t>
  </si>
  <si>
    <t>State of Texas per FTSE</t>
  </si>
  <si>
    <t>Professional Fees (Net)</t>
  </si>
  <si>
    <t>Hospitals &amp; Clinics (Net)</t>
  </si>
  <si>
    <t>Summary</t>
  </si>
  <si>
    <t>Sources Over/(Under) Uses</t>
  </si>
  <si>
    <t>Inflation Index</t>
  </si>
  <si>
    <t>Health - Related Institutions</t>
  </si>
  <si>
    <t>Total State Appropriations</t>
  </si>
  <si>
    <t>Total Operating Uses Less Aux.</t>
  </si>
  <si>
    <t>Appropriation/   FTSE</t>
  </si>
  <si>
    <t>Expenditures/  FTSE</t>
  </si>
  <si>
    <t>% Funded by State</t>
  </si>
  <si>
    <t>Excluded</t>
  </si>
  <si>
    <t>Subtotal - State of Texas</t>
  </si>
  <si>
    <t>Bond Proceeds Transfers  (See FN4)</t>
  </si>
  <si>
    <t>T</t>
  </si>
  <si>
    <t>Summary of All Health-Related Institutions Side By Side</t>
  </si>
  <si>
    <t>Institution State Funded FTSEs</t>
  </si>
  <si>
    <t>Zoom % should be at 75%.</t>
  </si>
  <si>
    <t>Space Projection Model Inputs</t>
  </si>
  <si>
    <t>Total Col. C,D,&amp;F</t>
  </si>
  <si>
    <t>Distribution of Capital Outlay by Function Capital Outlay - Current FS</t>
  </si>
  <si>
    <t>Less Federal Pass-Through</t>
  </si>
  <si>
    <t>Less State Pass-Through</t>
  </si>
  <si>
    <t>SRECNA</t>
  </si>
  <si>
    <t>Difference</t>
  </si>
  <si>
    <t>Operation and Maintenance of Plant</t>
  </si>
  <si>
    <t>Adjustments:</t>
  </si>
  <si>
    <t>Depreciation (Investment in Plant)</t>
  </si>
  <si>
    <t xml:space="preserve">    Sales &amp; Services Hospital/Clinics Revenues, etc.</t>
  </si>
  <si>
    <t xml:space="preserve">    Discounts and Allowances</t>
  </si>
  <si>
    <t>Net E &amp; G Expenditures</t>
  </si>
  <si>
    <t>OPEB</t>
  </si>
  <si>
    <t xml:space="preserve">University of North Texas Health Science Center at Fort Worth    </t>
  </si>
  <si>
    <t>Institution</t>
  </si>
  <si>
    <t>Research Expenditures</t>
  </si>
  <si>
    <t>Current E &amp; G Expenditures</t>
  </si>
  <si>
    <t>Total</t>
  </si>
  <si>
    <t>Health-Related Institutions</t>
  </si>
  <si>
    <t>State Funded FTSE</t>
  </si>
  <si>
    <t>Local Government   Grants</t>
  </si>
  <si>
    <t>Word spacing is set to generate the correct word wrap on the graph labels.</t>
  </si>
  <si>
    <t>Pie Settings:</t>
  </si>
  <si>
    <t>The pie is 1 7/8" in diameter at a 65% Screen Zoom, This produces a 3/4" printed pie.</t>
  </si>
  <si>
    <t>The font is 14.00 Arial Bold - Turn off auto scale.</t>
  </si>
  <si>
    <t>Chart Titles are 18.00 Arial Bold</t>
  </si>
  <si>
    <t>Row H of 13 = 17 Pix.</t>
  </si>
  <si>
    <t>Row 1-3 - 37 Pix</t>
  </si>
  <si>
    <t>Page Heading for Entire Workbook</t>
  </si>
  <si>
    <t>Heading on FGD Tab</t>
  </si>
  <si>
    <t>Col L Year on FGD</t>
  </si>
  <si>
    <t>A5 on SUM Tab</t>
  </si>
  <si>
    <t>Proof of Footing Section:</t>
  </si>
  <si>
    <t>Bond Proceeds Transfers In (See FN4)</t>
  </si>
  <si>
    <t>Transfer of Capital Asses(s) from System</t>
  </si>
  <si>
    <t>N/A</t>
  </si>
  <si>
    <t>IFRS Control Total</t>
  </si>
  <si>
    <t>Per FGD Sheet</t>
  </si>
  <si>
    <t>Totals per FGD</t>
  </si>
  <si>
    <t>Per SRECNA</t>
  </si>
  <si>
    <t xml:space="preserve"> (Enter as Neg.)</t>
  </si>
  <si>
    <t>Difference w/ FGD T&amp;F Total</t>
  </si>
  <si>
    <t>Statements of Sources and Uses</t>
  </si>
  <si>
    <t>Universities, Health-Related Institutions, Lamar State Colleges, and TSTC</t>
  </si>
  <si>
    <t>File and Tab Naming Conventions/ Authorized Amounts</t>
  </si>
  <si>
    <t>New Additions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</si>
  <si>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</si>
  <si>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</si>
  <si>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</si>
  <si>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</si>
  <si>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</si>
  <si>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</si>
  <si>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</si>
  <si>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</si>
  <si>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</si>
  <si>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</si>
  <si>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</si>
  <si>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</si>
  <si>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</si>
  <si>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</si>
  <si>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</si>
  <si>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</si>
  <si>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</si>
  <si>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</si>
  <si>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</si>
  <si>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</si>
  <si>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</si>
  <si>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</si>
  <si>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</si>
  <si>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</si>
  <si>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</si>
  <si>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</si>
  <si>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</si>
  <si>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</si>
  <si>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</si>
  <si>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</si>
  <si>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</si>
  <si>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</si>
  <si>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</si>
  <si>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</si>
  <si>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</si>
  <si>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</si>
  <si>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</si>
  <si>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</si>
  <si>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</si>
  <si>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</si>
  <si>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</si>
  <si>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</si>
  <si>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</si>
  <si>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</si>
  <si>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</si>
  <si>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TAR</t>
  </si>
  <si>
    <t>TAES</t>
  </si>
  <si>
    <t>TEES1</t>
  </si>
  <si>
    <t>TEES2</t>
  </si>
  <si>
    <t>TFS</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</si>
  <si>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</si>
  <si>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</si>
  <si>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</si>
  <si>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</si>
  <si>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</si>
  <si>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</si>
  <si>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</si>
  <si>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</si>
  <si>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</si>
  <si>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</si>
  <si>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</si>
  <si>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</si>
  <si>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</si>
  <si>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</si>
  <si>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</si>
  <si>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Sam Houston State University</t>
  </si>
  <si>
    <t>SHSU</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</si>
  <si>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</si>
  <si>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</si>
  <si>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</si>
  <si>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</si>
  <si>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</si>
  <si>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</si>
  <si>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</si>
  <si>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</si>
  <si>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</si>
  <si>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</si>
  <si>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</si>
  <si>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</si>
  <si>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</si>
  <si>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</si>
  <si>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</si>
  <si>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</si>
  <si>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</si>
  <si>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</si>
  <si>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</si>
  <si>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</si>
  <si>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</si>
  <si>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</si>
  <si>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</si>
  <si>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Lamar Institute of Technology</t>
  </si>
  <si>
    <t>LIT</t>
  </si>
  <si>
    <t>Lamar State College - Orange</t>
  </si>
  <si>
    <t>LSCO</t>
  </si>
  <si>
    <t>Lamar State College - Port Arthur</t>
  </si>
  <si>
    <t>LSCPA</t>
  </si>
  <si>
    <t>Texas State Technical College - Harlingen</t>
  </si>
  <si>
    <t>TSTCH</t>
  </si>
  <si>
    <t>Texas State Technical College - Marshall</t>
  </si>
  <si>
    <t>TSTCM</t>
  </si>
  <si>
    <t>Texas State Technical College - Waco</t>
  </si>
  <si>
    <t>TSTCW</t>
  </si>
  <si>
    <t>Health-Related Institutions:</t>
  </si>
  <si>
    <t>380 - Reserved for Summary</t>
  </si>
  <si>
    <t>SWM</t>
  </si>
  <si>
    <t>MBG</t>
  </si>
  <si>
    <t>HSH</t>
  </si>
  <si>
    <t>HSSA</t>
  </si>
  <si>
    <t>MDA</t>
  </si>
  <si>
    <t>THC</t>
  </si>
  <si>
    <t>TAMHSC</t>
  </si>
  <si>
    <t>UNTHSC</t>
  </si>
  <si>
    <t>TTUHSC</t>
  </si>
  <si>
    <t>H&amp;C</t>
  </si>
  <si>
    <t>Space Model - Federal Pass-Through</t>
  </si>
  <si>
    <t>Space Model - State Pass-Through</t>
  </si>
  <si>
    <t>Contact</t>
  </si>
  <si>
    <t>FGD</t>
  </si>
  <si>
    <t>B2</t>
  </si>
  <si>
    <t>D10</t>
  </si>
  <si>
    <t>D11</t>
  </si>
  <si>
    <t>D12</t>
  </si>
  <si>
    <t>D13</t>
  </si>
  <si>
    <t>D14</t>
  </si>
  <si>
    <t>D19</t>
  </si>
  <si>
    <t>D20</t>
  </si>
  <si>
    <t>D23</t>
  </si>
  <si>
    <t>D24</t>
  </si>
  <si>
    <t>D25</t>
  </si>
  <si>
    <t>D34</t>
  </si>
  <si>
    <t>D37</t>
  </si>
  <si>
    <t>D40</t>
  </si>
  <si>
    <t>D41</t>
  </si>
  <si>
    <t>D50</t>
  </si>
  <si>
    <t>D53</t>
  </si>
  <si>
    <t>D56</t>
  </si>
  <si>
    <t>D57</t>
  </si>
  <si>
    <t>D58</t>
  </si>
  <si>
    <t>D59</t>
  </si>
  <si>
    <t>D60</t>
  </si>
  <si>
    <t>D65</t>
  </si>
  <si>
    <t>D66</t>
  </si>
  <si>
    <t>D67</t>
  </si>
  <si>
    <t>D71</t>
  </si>
  <si>
    <t>D72</t>
  </si>
  <si>
    <t>D80</t>
  </si>
  <si>
    <t>D81</t>
  </si>
  <si>
    <t>E10</t>
  </si>
  <si>
    <t>E11</t>
  </si>
  <si>
    <t>E12</t>
  </si>
  <si>
    <t>E13</t>
  </si>
  <si>
    <t>E14</t>
  </si>
  <si>
    <t>E19</t>
  </si>
  <si>
    <t>E20</t>
  </si>
  <si>
    <t>E23</t>
  </si>
  <si>
    <t>E24</t>
  </si>
  <si>
    <t>E25</t>
  </si>
  <si>
    <t>E34</t>
  </si>
  <si>
    <t>E37</t>
  </si>
  <si>
    <t>E40</t>
  </si>
  <si>
    <t>E41</t>
  </si>
  <si>
    <t>E50</t>
  </si>
  <si>
    <t>E53</t>
  </si>
  <si>
    <t>E56</t>
  </si>
  <si>
    <t>E57</t>
  </si>
  <si>
    <t>E58</t>
  </si>
  <si>
    <t>E59</t>
  </si>
  <si>
    <t>E60</t>
  </si>
  <si>
    <t>E65</t>
  </si>
  <si>
    <t>E66</t>
  </si>
  <si>
    <t>E67</t>
  </si>
  <si>
    <t>E71</t>
  </si>
  <si>
    <t>E72</t>
  </si>
  <si>
    <t>E80</t>
  </si>
  <si>
    <t>E81</t>
  </si>
  <si>
    <t>F10</t>
  </si>
  <si>
    <t>F11</t>
  </si>
  <si>
    <t>F12</t>
  </si>
  <si>
    <t>F13</t>
  </si>
  <si>
    <t>F14</t>
  </si>
  <si>
    <t>F19</t>
  </si>
  <si>
    <t>F20</t>
  </si>
  <si>
    <t>F23</t>
  </si>
  <si>
    <t>F24</t>
  </si>
  <si>
    <t>F25</t>
  </si>
  <si>
    <t>F34</t>
  </si>
  <si>
    <t>F37</t>
  </si>
  <si>
    <t>F40</t>
  </si>
  <si>
    <t>F41</t>
  </si>
  <si>
    <t>F50</t>
  </si>
  <si>
    <t>F53</t>
  </si>
  <si>
    <t>F56</t>
  </si>
  <si>
    <t>F57</t>
  </si>
  <si>
    <t>F58</t>
  </si>
  <si>
    <t>F59</t>
  </si>
  <si>
    <t>F60</t>
  </si>
  <si>
    <t>F65</t>
  </si>
  <si>
    <t>F66</t>
  </si>
  <si>
    <t>F67</t>
  </si>
  <si>
    <t>F71</t>
  </si>
  <si>
    <t>F72</t>
  </si>
  <si>
    <t>F80</t>
  </si>
  <si>
    <t>F81</t>
  </si>
  <si>
    <t>G10</t>
  </si>
  <si>
    <t>G11</t>
  </si>
  <si>
    <t>G12</t>
  </si>
  <si>
    <t>G13</t>
  </si>
  <si>
    <t>G14</t>
  </si>
  <si>
    <t>G19</t>
  </si>
  <si>
    <t>G20</t>
  </si>
  <si>
    <t>G23</t>
  </si>
  <si>
    <t>G24</t>
  </si>
  <si>
    <t>G25</t>
  </si>
  <si>
    <t>G34</t>
  </si>
  <si>
    <t>G37</t>
  </si>
  <si>
    <t>G40</t>
  </si>
  <si>
    <t>G41</t>
  </si>
  <si>
    <t>G50</t>
  </si>
  <si>
    <t>G53</t>
  </si>
  <si>
    <t>G56</t>
  </si>
  <si>
    <t>G57</t>
  </si>
  <si>
    <t>G58</t>
  </si>
  <si>
    <t>G59</t>
  </si>
  <si>
    <t>G60</t>
  </si>
  <si>
    <t>G65</t>
  </si>
  <si>
    <t>G66</t>
  </si>
  <si>
    <t>G67</t>
  </si>
  <si>
    <t>G71</t>
  </si>
  <si>
    <t>G72</t>
  </si>
  <si>
    <t>G80</t>
  </si>
  <si>
    <t>G81</t>
  </si>
  <si>
    <t>H10</t>
  </si>
  <si>
    <t>H11</t>
  </si>
  <si>
    <t>H12</t>
  </si>
  <si>
    <t>H13</t>
  </si>
  <si>
    <t>H14</t>
  </si>
  <si>
    <t>H19</t>
  </si>
  <si>
    <t>H20</t>
  </si>
  <si>
    <t>H23</t>
  </si>
  <si>
    <t>H24</t>
  </si>
  <si>
    <t>H25</t>
  </si>
  <si>
    <t>H34</t>
  </si>
  <si>
    <t>H37</t>
  </si>
  <si>
    <t>H40</t>
  </si>
  <si>
    <t>H41</t>
  </si>
  <si>
    <t>H50</t>
  </si>
  <si>
    <t>H53</t>
  </si>
  <si>
    <t>H56</t>
  </si>
  <si>
    <t>H57</t>
  </si>
  <si>
    <t>H58</t>
  </si>
  <si>
    <t>H59</t>
  </si>
  <si>
    <t>H60</t>
  </si>
  <si>
    <t>H65</t>
  </si>
  <si>
    <t>H66</t>
  </si>
  <si>
    <t>H67</t>
  </si>
  <si>
    <t>H71</t>
  </si>
  <si>
    <t>H72</t>
  </si>
  <si>
    <t>H80</t>
  </si>
  <si>
    <t>H81</t>
  </si>
  <si>
    <t>I10</t>
  </si>
  <si>
    <t>I11</t>
  </si>
  <si>
    <t>I12</t>
  </si>
  <si>
    <t>I13</t>
  </si>
  <si>
    <t>I14</t>
  </si>
  <si>
    <t>I19</t>
  </si>
  <si>
    <t>I20</t>
  </si>
  <si>
    <t>I23</t>
  </si>
  <si>
    <t>I24</t>
  </si>
  <si>
    <t>I25</t>
  </si>
  <si>
    <t>I34</t>
  </si>
  <si>
    <t>I37</t>
  </si>
  <si>
    <t>I40</t>
  </si>
  <si>
    <t>I41</t>
  </si>
  <si>
    <t>I50</t>
  </si>
  <si>
    <t>I53</t>
  </si>
  <si>
    <t>I56</t>
  </si>
  <si>
    <t>I57</t>
  </si>
  <si>
    <t>I58</t>
  </si>
  <si>
    <t>I59</t>
  </si>
  <si>
    <t>I60</t>
  </si>
  <si>
    <t>I65</t>
  </si>
  <si>
    <t>I66</t>
  </si>
  <si>
    <t>I67</t>
  </si>
  <si>
    <t>I71</t>
  </si>
  <si>
    <t>I72</t>
  </si>
  <si>
    <t>I80</t>
  </si>
  <si>
    <t>I81</t>
  </si>
  <si>
    <t>J10</t>
  </si>
  <si>
    <t>J11</t>
  </si>
  <si>
    <t>J12</t>
  </si>
  <si>
    <t>J13</t>
  </si>
  <si>
    <t>J14</t>
  </si>
  <si>
    <t>J19</t>
  </si>
  <si>
    <t>J20</t>
  </si>
  <si>
    <t>J23</t>
  </si>
  <si>
    <t>J24</t>
  </si>
  <si>
    <t>J25</t>
  </si>
  <si>
    <t>J34</t>
  </si>
  <si>
    <t>J37</t>
  </si>
  <si>
    <t>J40</t>
  </si>
  <si>
    <t>J41</t>
  </si>
  <si>
    <t>J50</t>
  </si>
  <si>
    <t>J53</t>
  </si>
  <si>
    <t>J56</t>
  </si>
  <si>
    <t>J57</t>
  </si>
  <si>
    <t>J58</t>
  </si>
  <si>
    <t>J59</t>
  </si>
  <si>
    <t>J60</t>
  </si>
  <si>
    <t>J65</t>
  </si>
  <si>
    <t>J66</t>
  </si>
  <si>
    <t>J67</t>
  </si>
  <si>
    <t>J71</t>
  </si>
  <si>
    <t>J72</t>
  </si>
  <si>
    <t>J80</t>
  </si>
  <si>
    <t>J81</t>
  </si>
  <si>
    <t>K10</t>
  </si>
  <si>
    <t>K11</t>
  </si>
  <si>
    <t>K12</t>
  </si>
  <si>
    <t>K13</t>
  </si>
  <si>
    <t>K14</t>
  </si>
  <si>
    <t>K19</t>
  </si>
  <si>
    <t>K20</t>
  </si>
  <si>
    <t>K23</t>
  </si>
  <si>
    <t>K24</t>
  </si>
  <si>
    <t>K25</t>
  </si>
  <si>
    <t>K34</t>
  </si>
  <si>
    <t>K37</t>
  </si>
  <si>
    <t>K40</t>
  </si>
  <si>
    <t>K41</t>
  </si>
  <si>
    <t>K50</t>
  </si>
  <si>
    <t>K53</t>
  </si>
  <si>
    <t>K56</t>
  </si>
  <si>
    <t>K57</t>
  </si>
  <si>
    <t>K58</t>
  </si>
  <si>
    <t>K59</t>
  </si>
  <si>
    <t>K60</t>
  </si>
  <si>
    <t>K65</t>
  </si>
  <si>
    <t>K66</t>
  </si>
  <si>
    <t>K67</t>
  </si>
  <si>
    <t>K71</t>
  </si>
  <si>
    <t>K72</t>
  </si>
  <si>
    <t>K80</t>
  </si>
  <si>
    <t>K81</t>
  </si>
  <si>
    <t>L10</t>
  </si>
  <si>
    <t>L11</t>
  </si>
  <si>
    <t>L12</t>
  </si>
  <si>
    <t>L13</t>
  </si>
  <si>
    <t>L14</t>
  </si>
  <si>
    <t>L19</t>
  </si>
  <si>
    <t>L20</t>
  </si>
  <si>
    <t>L23</t>
  </si>
  <si>
    <t>L24</t>
  </si>
  <si>
    <t>L25</t>
  </si>
  <si>
    <t>L34</t>
  </si>
  <si>
    <t>L37</t>
  </si>
  <si>
    <t>L40</t>
  </si>
  <si>
    <t>L41</t>
  </si>
  <si>
    <t>L50</t>
  </si>
  <si>
    <t>L53</t>
  </si>
  <si>
    <t>L56</t>
  </si>
  <si>
    <t>L57</t>
  </si>
  <si>
    <t>L58</t>
  </si>
  <si>
    <t>L59</t>
  </si>
  <si>
    <t>L60</t>
  </si>
  <si>
    <t>L65</t>
  </si>
  <si>
    <t>L66</t>
  </si>
  <si>
    <t>L67</t>
  </si>
  <si>
    <t>L71</t>
  </si>
  <si>
    <t>L72</t>
  </si>
  <si>
    <t>L80</t>
  </si>
  <si>
    <t>L81</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</si>
  <si>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</si>
  <si>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</si>
  <si>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</si>
  <si>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</si>
  <si>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</si>
  <si>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</si>
  <si>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</si>
  <si>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</si>
  <si>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</si>
  <si>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</si>
  <si>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</si>
  <si>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</si>
  <si>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Fed</t>
  </si>
  <si>
    <t>State</t>
  </si>
  <si>
    <t>Fnt 11</t>
  </si>
  <si>
    <t xml:space="preserve">FN11: Of the net increase of </t>
  </si>
  <si>
    <t xml:space="preserve"> approximately </t>
  </si>
  <si>
    <t xml:space="preserve"> represents non-expendable funds from unrealized gains and additions to permanent endowments of approximately </t>
  </si>
  <si>
    <t xml:space="preserve"> and </t>
  </si>
  <si>
    <t>Mandatory and Non-mandatory Transfers (See FN11- FN10 Starting FY 2010)</t>
  </si>
  <si>
    <t>Mandatory and Non-mandatory Transfers (See FN10)</t>
  </si>
  <si>
    <t>Total Sources Over / (Under) Uses (See FN11)</t>
  </si>
  <si>
    <t>Total Sources Over / (Under) Uses (See FN 11)</t>
  </si>
  <si>
    <t>Total Cols. D,E,F, G,&amp; J</t>
  </si>
  <si>
    <t>STATE-FUNDED SEMESTER CREDIT HOURS BY LEVEL</t>
  </si>
  <si>
    <t>Total SCH</t>
  </si>
  <si>
    <t>Total Sources Over / (Under) Uses (See FN10, FN11 Starting FY 2010))</t>
  </si>
  <si>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</si>
  <si>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</si>
  <si>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</si>
  <si>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</si>
  <si>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</si>
  <si>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year expended. This income is fully committed to program expenditures and capital disbursements. The remaining </t>
  </si>
  <si>
    <t>Tab Name</t>
  </si>
  <si>
    <t>Number</t>
  </si>
  <si>
    <t>S40</t>
  </si>
  <si>
    <t>S130</t>
  </si>
  <si>
    <t>S230</t>
  </si>
  <si>
    <t>S270</t>
  </si>
  <si>
    <t>S310</t>
  </si>
  <si>
    <t>S330</t>
  </si>
  <si>
    <t>Texas State Technical College - System</t>
  </si>
  <si>
    <t>TSTCS</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</si>
  <si>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</si>
  <si>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</si>
  <si>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</si>
  <si>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</si>
  <si>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</si>
  <si>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</si>
  <si>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</si>
  <si>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</si>
  <si>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</si>
  <si>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</si>
  <si>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</si>
  <si>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</si>
  <si>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</si>
  <si>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</si>
  <si>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</si>
  <si>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</si>
  <si>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</si>
  <si>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</si>
  <si>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CS. Adj</t>
  </si>
  <si>
    <t>Footnote</t>
  </si>
  <si>
    <t>E&amp;G</t>
  </si>
  <si>
    <t>Desg.</t>
  </si>
  <si>
    <t>Aux</t>
  </si>
  <si>
    <t>R Exp</t>
  </si>
  <si>
    <t>Ln Fn</t>
  </si>
  <si>
    <t>Annuity</t>
  </si>
  <si>
    <t>Unexp</t>
  </si>
  <si>
    <t>R of Ind.</t>
  </si>
  <si>
    <t>Inv in P</t>
  </si>
  <si>
    <t>T &amp; F</t>
  </si>
  <si>
    <t>Disc &amp; All</t>
  </si>
  <si>
    <t>Inst.</t>
  </si>
  <si>
    <t>Resh</t>
  </si>
  <si>
    <t>Pub Svc</t>
  </si>
  <si>
    <t>H &amp; C</t>
  </si>
  <si>
    <t>Aca Sppt</t>
  </si>
  <si>
    <t>Stu Svcs</t>
  </si>
  <si>
    <t>Inst. Sppt</t>
  </si>
  <si>
    <t>Op &amp; Maint</t>
  </si>
  <si>
    <t>Sch &amp; Fello</t>
  </si>
  <si>
    <t>Sales &amp; Services Hospital/Clinics Revenues, etc.</t>
  </si>
  <si>
    <t>Disc &amp; Allow</t>
  </si>
  <si>
    <t>Rev Rec'd</t>
  </si>
  <si>
    <t>Non Exp.</t>
  </si>
  <si>
    <t>Phone No.</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</si>
  <si>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</si>
  <si>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</si>
  <si>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</si>
  <si>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</si>
  <si>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</si>
  <si>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</si>
  <si>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</si>
  <si>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</si>
  <si>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</si>
  <si>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</si>
  <si>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</si>
  <si>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</si>
  <si>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</si>
  <si>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</si>
  <si>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</si>
  <si>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</si>
  <si>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</si>
  <si>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</si>
  <si>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</si>
  <si>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</si>
  <si>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</si>
  <si>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</si>
  <si>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</si>
  <si>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</si>
  <si>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</si>
  <si>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</si>
  <si>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</si>
  <si>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</si>
  <si>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</si>
  <si>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</si>
  <si>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</si>
  <si>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</si>
  <si>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</si>
  <si>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</si>
  <si>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</si>
  <si>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</si>
  <si>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</si>
  <si>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</si>
  <si>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</si>
  <si>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</si>
  <si>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</si>
  <si>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</si>
  <si>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</si>
  <si>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</si>
  <si>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</si>
  <si>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</si>
  <si>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</si>
  <si>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</si>
  <si>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</si>
  <si>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</si>
  <si>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</si>
  <si>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</si>
  <si>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</si>
  <si>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</si>
  <si>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</si>
  <si>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</si>
  <si>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</si>
  <si>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</si>
  <si>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</si>
  <si>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</si>
  <si>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</si>
  <si>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</si>
  <si>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</si>
  <si>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</si>
  <si>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</si>
  <si>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D35</t>
  </si>
  <si>
    <t>E35</t>
  </si>
  <si>
    <t>F35</t>
  </si>
  <si>
    <t>G35</t>
  </si>
  <si>
    <t>H35</t>
  </si>
  <si>
    <t>I35</t>
  </si>
  <si>
    <t>J35</t>
  </si>
  <si>
    <t>K35</t>
  </si>
  <si>
    <t>L35</t>
  </si>
  <si>
    <t>D36</t>
  </si>
  <si>
    <t>E36</t>
  </si>
  <si>
    <t>F36</t>
  </si>
  <si>
    <t>G36</t>
  </si>
  <si>
    <t>H36</t>
  </si>
  <si>
    <t>I36</t>
  </si>
  <si>
    <t>J36</t>
  </si>
  <si>
    <t>K36</t>
  </si>
  <si>
    <t>L36</t>
  </si>
  <si>
    <t>D38</t>
  </si>
  <si>
    <t>E38</t>
  </si>
  <si>
    <t>F38</t>
  </si>
  <si>
    <t>G38</t>
  </si>
  <si>
    <t>H38</t>
  </si>
  <si>
    <t>I38</t>
  </si>
  <si>
    <t>J38</t>
  </si>
  <si>
    <t>K38</t>
  </si>
  <si>
    <t>L38</t>
  </si>
  <si>
    <t>D39</t>
  </si>
  <si>
    <t>E39</t>
  </si>
  <si>
    <t>F39</t>
  </si>
  <si>
    <t>G39</t>
  </si>
  <si>
    <t>H39</t>
  </si>
  <si>
    <t>I39</t>
  </si>
  <si>
    <t>J39</t>
  </si>
  <si>
    <t>K39</t>
  </si>
  <si>
    <t>L39</t>
  </si>
  <si>
    <t>D47</t>
  </si>
  <si>
    <t>E47</t>
  </si>
  <si>
    <t>F47</t>
  </si>
  <si>
    <t>G47</t>
  </si>
  <si>
    <t>H47</t>
  </si>
  <si>
    <t>I47</t>
  </si>
  <si>
    <t>J47</t>
  </si>
  <si>
    <t>K47</t>
  </si>
  <si>
    <t>L47</t>
  </si>
  <si>
    <t>D61</t>
  </si>
  <si>
    <t>E61</t>
  </si>
  <si>
    <t>F61</t>
  </si>
  <si>
    <t>G61</t>
  </si>
  <si>
    <t>H61</t>
  </si>
  <si>
    <t>I61</t>
  </si>
  <si>
    <t>J61</t>
  </si>
  <si>
    <t>K61</t>
  </si>
  <si>
    <t>L61</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</si>
  <si>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</si>
  <si>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</si>
  <si>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</si>
  <si>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</si>
  <si>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</si>
  <si>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</si>
  <si>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</si>
  <si>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</si>
  <si>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</si>
  <si>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</si>
  <si>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</si>
  <si>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</si>
  <si>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</si>
  <si>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</si>
  <si>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</si>
  <si>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</si>
  <si>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</si>
  <si>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</si>
  <si>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</si>
  <si>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</si>
  <si>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</si>
  <si>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</si>
  <si>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</si>
  <si>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</si>
  <si>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</si>
  <si>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</si>
  <si>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</si>
  <si>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D73</t>
  </si>
  <si>
    <t>E73</t>
  </si>
  <si>
    <t>F73</t>
  </si>
  <si>
    <t>G73</t>
  </si>
  <si>
    <t>H73</t>
  </si>
  <si>
    <t>I73</t>
  </si>
  <si>
    <t>J73</t>
  </si>
  <si>
    <t>K73</t>
  </si>
  <si>
    <t>L73</t>
  </si>
  <si>
    <t>D74</t>
  </si>
  <si>
    <t>E74</t>
  </si>
  <si>
    <t>F74</t>
  </si>
  <si>
    <t>G74</t>
  </si>
  <si>
    <t>H74</t>
  </si>
  <si>
    <t>I74</t>
  </si>
  <si>
    <t>J74</t>
  </si>
  <si>
    <t>K74</t>
  </si>
  <si>
    <t>L74</t>
  </si>
  <si>
    <t>D75</t>
  </si>
  <si>
    <t>E75</t>
  </si>
  <si>
    <t>F75</t>
  </si>
  <si>
    <t>G75</t>
  </si>
  <si>
    <t>H75</t>
  </si>
  <si>
    <t>I75</t>
  </si>
  <si>
    <t>J75</t>
  </si>
  <si>
    <t>K75</t>
  </si>
  <si>
    <t>L75</t>
  </si>
  <si>
    <t>D76</t>
  </si>
  <si>
    <t>E76</t>
  </si>
  <si>
    <t>F76</t>
  </si>
  <si>
    <t>G76</t>
  </si>
  <si>
    <t>H76</t>
  </si>
  <si>
    <t>I76</t>
  </si>
  <si>
    <t>J76</t>
  </si>
  <si>
    <t>K76</t>
  </si>
  <si>
    <t>L76</t>
  </si>
  <si>
    <t>D82</t>
  </si>
  <si>
    <t>E82</t>
  </si>
  <si>
    <t>F82</t>
  </si>
  <si>
    <t>G82</t>
  </si>
  <si>
    <t>H82</t>
  </si>
  <si>
    <t>I82</t>
  </si>
  <si>
    <t>J82</t>
  </si>
  <si>
    <t>K82</t>
  </si>
  <si>
    <t>L82</t>
  </si>
  <si>
    <t>D83</t>
  </si>
  <si>
    <t>E83</t>
  </si>
  <si>
    <t>F83</t>
  </si>
  <si>
    <t>G83</t>
  </si>
  <si>
    <t>H83</t>
  </si>
  <si>
    <t>I83</t>
  </si>
  <si>
    <t>J83</t>
  </si>
  <si>
    <t>K83</t>
  </si>
  <si>
    <t>L83</t>
  </si>
  <si>
    <t>D87</t>
  </si>
  <si>
    <t>E87</t>
  </si>
  <si>
    <t>F87</t>
  </si>
  <si>
    <t>G87</t>
  </si>
  <si>
    <t>H87</t>
  </si>
  <si>
    <t>I87</t>
  </si>
  <si>
    <t>J87</t>
  </si>
  <si>
    <t>K87</t>
  </si>
  <si>
    <t>L87</t>
  </si>
  <si>
    <t>D88</t>
  </si>
  <si>
    <t>E88</t>
  </si>
  <si>
    <t>F88</t>
  </si>
  <si>
    <t>G88</t>
  </si>
  <si>
    <t>H88</t>
  </si>
  <si>
    <t>I88</t>
  </si>
  <si>
    <t>J88</t>
  </si>
  <si>
    <t>K88</t>
  </si>
  <si>
    <t>L88</t>
  </si>
  <si>
    <t>D93</t>
  </si>
  <si>
    <t>E93</t>
  </si>
  <si>
    <t>F93</t>
  </si>
  <si>
    <t>G93</t>
  </si>
  <si>
    <t>H93</t>
  </si>
  <si>
    <t>I93</t>
  </si>
  <si>
    <t>J93</t>
  </si>
  <si>
    <t>K93</t>
  </si>
  <si>
    <t>L93</t>
  </si>
  <si>
    <t>D94</t>
  </si>
  <si>
    <t>E94</t>
  </si>
  <si>
    <t>F94</t>
  </si>
  <si>
    <t>G94</t>
  </si>
  <si>
    <t>H94</t>
  </si>
  <si>
    <t>I94</t>
  </si>
  <si>
    <t>J94</t>
  </si>
  <si>
    <t>K94</t>
  </si>
  <si>
    <t>L94</t>
  </si>
  <si>
    <t>D95</t>
  </si>
  <si>
    <t>E95</t>
  </si>
  <si>
    <t>F95</t>
  </si>
  <si>
    <t>G95</t>
  </si>
  <si>
    <t>H95</t>
  </si>
  <si>
    <t>I95</t>
  </si>
  <si>
    <t>J95</t>
  </si>
  <si>
    <t>K95</t>
  </si>
  <si>
    <t>L95</t>
  </si>
  <si>
    <t>D96</t>
  </si>
  <si>
    <t>E96</t>
  </si>
  <si>
    <t>F96</t>
  </si>
  <si>
    <t>G96</t>
  </si>
  <si>
    <t>H96</t>
  </si>
  <si>
    <t>I96</t>
  </si>
  <si>
    <t>J96</t>
  </si>
  <si>
    <t>K96</t>
  </si>
  <si>
    <t>L96</t>
  </si>
  <si>
    <t>D97</t>
  </si>
  <si>
    <t>E97</t>
  </si>
  <si>
    <t>F97</t>
  </si>
  <si>
    <t>G97</t>
  </si>
  <si>
    <t>H97</t>
  </si>
  <si>
    <t>I97</t>
  </si>
  <si>
    <t>J97</t>
  </si>
  <si>
    <t>K97</t>
  </si>
  <si>
    <t>L97</t>
  </si>
  <si>
    <t>M105</t>
  </si>
  <si>
    <t>Q32</t>
  </si>
  <si>
    <t>R34</t>
  </si>
  <si>
    <t>P65</t>
  </si>
  <si>
    <t>P66</t>
  </si>
  <si>
    <t>P67</t>
  </si>
  <si>
    <t>P68</t>
  </si>
  <si>
    <t>P69</t>
  </si>
  <si>
    <t>P70</t>
  </si>
  <si>
    <t>P71</t>
  </si>
  <si>
    <t>P72</t>
  </si>
  <si>
    <t>P73</t>
  </si>
  <si>
    <t>P74</t>
  </si>
  <si>
    <t>Q65</t>
  </si>
  <si>
    <t>Q66</t>
  </si>
  <si>
    <t>Q67</t>
  </si>
  <si>
    <t>Q68</t>
  </si>
  <si>
    <t>Q69</t>
  </si>
  <si>
    <t>Q70</t>
  </si>
  <si>
    <t>Q71</t>
  </si>
  <si>
    <t>Q72</t>
  </si>
  <si>
    <t>Q73</t>
  </si>
  <si>
    <t>R65</t>
  </si>
  <si>
    <t>R66</t>
  </si>
  <si>
    <t>R67</t>
  </si>
  <si>
    <t>R68</t>
  </si>
  <si>
    <t>R69</t>
  </si>
  <si>
    <t>R70</t>
  </si>
  <si>
    <t>R71</t>
  </si>
  <si>
    <t>R72</t>
  </si>
  <si>
    <t>R73</t>
  </si>
  <si>
    <t>S76</t>
  </si>
  <si>
    <t>S77</t>
  </si>
  <si>
    <t>X65</t>
  </si>
  <si>
    <t>X66</t>
  </si>
  <si>
    <t>X67</t>
  </si>
  <si>
    <t>X68</t>
  </si>
  <si>
    <t>X69</t>
  </si>
  <si>
    <t>X70</t>
  </si>
  <si>
    <t>X71</t>
  </si>
  <si>
    <t>X72</t>
  </si>
  <si>
    <t>X73</t>
  </si>
  <si>
    <t>X74</t>
  </si>
  <si>
    <t>S84</t>
  </si>
  <si>
    <t>S87</t>
  </si>
  <si>
    <t>P103</t>
  </si>
  <si>
    <t>R103</t>
  </si>
  <si>
    <t>U103</t>
  </si>
  <si>
    <t>UZ Last Number</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</si>
  <si>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</si>
  <si>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</si>
  <si>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</si>
  <si>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</si>
  <si>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</si>
  <si>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</si>
  <si>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</si>
  <si>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</si>
  <si>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</si>
  <si>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</si>
  <si>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</si>
  <si>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</si>
  <si>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</si>
  <si>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</si>
  <si>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CS Adj.</t>
  </si>
  <si>
    <t>P</t>
  </si>
  <si>
    <t>S</t>
  </si>
  <si>
    <t>X</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</si>
  <si>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</si>
  <si>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</si>
  <si>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</si>
  <si>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</si>
  <si>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</si>
  <si>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</si>
  <si>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</si>
  <si>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</si>
  <si>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</si>
  <si>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</si>
  <si>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Total Research Expenditures</t>
  </si>
  <si>
    <t>Institutional</t>
  </si>
  <si>
    <t>Total Expenditures</t>
  </si>
  <si>
    <t>Institution Point of Contact for Sources &amp; Uses</t>
  </si>
  <si>
    <t>Almanac Order</t>
  </si>
  <si>
    <t>Tuition/   Fees</t>
  </si>
  <si>
    <t>Watch 75-79 for format change for history.</t>
  </si>
  <si>
    <t>Purpose:  This tab is used for balancing with the IFRS System</t>
  </si>
  <si>
    <t xml:space="preserve">S &amp; U </t>
  </si>
  <si>
    <t>Order</t>
  </si>
  <si>
    <t>Exemptions</t>
  </si>
  <si>
    <t>Waivers</t>
  </si>
  <si>
    <t>S &amp; U Order</t>
  </si>
  <si>
    <t>Net Student Tuition and Fees</t>
  </si>
  <si>
    <t>Scholarship Discounts and Allowances</t>
  </si>
  <si>
    <t>Statutory</t>
  </si>
  <si>
    <t xml:space="preserve"> Institutional</t>
  </si>
  <si>
    <t>Exemptions Not Reported in AFR Tuition &amp; Fees</t>
  </si>
  <si>
    <t>Waivers Reported in AFR Tuition &amp; Fees</t>
  </si>
  <si>
    <t xml:space="preserve">Health - Related  Institutions </t>
  </si>
  <si>
    <t>Almanac</t>
  </si>
  <si>
    <t>Used</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</si>
  <si>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</si>
  <si>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</si>
  <si>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</si>
  <si>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</si>
  <si>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</si>
  <si>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</si>
  <si>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</si>
  <si>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</si>
  <si>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</si>
  <si>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</si>
  <si>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</si>
  <si>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</si>
  <si>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</si>
  <si>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Note: Bolded &amp; Shaded items below are inputs to the IFRS Reconciliation</t>
  </si>
  <si>
    <t>Normally 0 for S76 S77.</t>
  </si>
  <si>
    <t>HRI No. 23 Measure for Accountability - FTSE portion</t>
  </si>
  <si>
    <t>Medical Education FTSE</t>
  </si>
  <si>
    <t>Dental Education FTSE</t>
  </si>
  <si>
    <t>Biomedical Sciences FTSE</t>
  </si>
  <si>
    <t>Allied Health FTSE</t>
  </si>
  <si>
    <t>Nursing Education FTSE</t>
  </si>
  <si>
    <t>Public Health FTSE</t>
  </si>
  <si>
    <t>Pharmacy Education FTSE</t>
  </si>
  <si>
    <t>Total FTSE</t>
  </si>
  <si>
    <t>UT Southwestern Medical Center</t>
  </si>
  <si>
    <t>UT HSC San Antonio</t>
  </si>
  <si>
    <t>Texas A&amp;M Univ HSC</t>
  </si>
  <si>
    <t>Univ of North Texas HSC</t>
  </si>
  <si>
    <t>Texas Tech Univ HSC</t>
  </si>
  <si>
    <t xml:space="preserve">UT HSC Houston </t>
  </si>
  <si>
    <t>UT MD Anderson</t>
  </si>
  <si>
    <t xml:space="preserve">UT Medical Branch Galveston </t>
  </si>
  <si>
    <t>Note: Accountability Data excludes all Auxiliary Revenue &amp; Expenditures.</t>
  </si>
  <si>
    <t xml:space="preserve">         Accountability Data excludes all Public Service Expenditures.</t>
  </si>
  <si>
    <t>Total Operating Uses (Expenses)</t>
  </si>
  <si>
    <t>C6</t>
  </si>
  <si>
    <t>Less: Auxiliary</t>
  </si>
  <si>
    <t>Almanac FTSE</t>
  </si>
  <si>
    <t>`</t>
  </si>
  <si>
    <t>Data to Almanac Publication</t>
  </si>
  <si>
    <t>Excludes:</t>
  </si>
  <si>
    <t>Aux.</t>
  </si>
  <si>
    <t>Pub. Svc.</t>
  </si>
  <si>
    <t>Totals</t>
  </si>
  <si>
    <t>Sum</t>
  </si>
  <si>
    <t>I51</t>
  </si>
  <si>
    <t>Line Items</t>
  </si>
  <si>
    <t>I48</t>
  </si>
  <si>
    <t>Res.</t>
  </si>
  <si>
    <t>Public Svc.</t>
  </si>
  <si>
    <t>Not Included</t>
  </si>
  <si>
    <t>Hosp &amp; Clinic</t>
  </si>
  <si>
    <t>Acad Sppt</t>
  </si>
  <si>
    <t>Stud Svcs</t>
  </si>
  <si>
    <t>Sch &amp; Fellow.</t>
  </si>
  <si>
    <t>Cap Outlay</t>
  </si>
  <si>
    <t>Dollar Totals</t>
  </si>
  <si>
    <t>Per FTSE Amounts</t>
  </si>
  <si>
    <t>I15</t>
  </si>
  <si>
    <t>M65</t>
  </si>
  <si>
    <t>N65</t>
  </si>
  <si>
    <t>M56</t>
  </si>
  <si>
    <t>N56</t>
  </si>
  <si>
    <t>State Appropriations (Includes Research, Patient Care, &amp; Public Service)</t>
  </si>
  <si>
    <t>Note:  Due to the nature of Health-Related Institutions, per FTSE calculations are provided on selected line items.</t>
  </si>
  <si>
    <t>Less Net Auxiliary Enterprises</t>
  </si>
  <si>
    <t>Data to Almanac</t>
  </si>
  <si>
    <t>Contextual Measures</t>
  </si>
  <si>
    <t>Key Measures</t>
  </si>
  <si>
    <t>FTFE</t>
  </si>
  <si>
    <t>Approp_FTEStu</t>
  </si>
  <si>
    <t>Approp_FTEFac</t>
  </si>
  <si>
    <t>Constitutional Fnds</t>
  </si>
  <si>
    <t>GR_FTEStu</t>
  </si>
  <si>
    <t>Total Less Const.</t>
  </si>
  <si>
    <t>GR_FTEFac</t>
  </si>
  <si>
    <t>Expenses (for Expenses per FTSE Student) - Includes Capital Outlay</t>
  </si>
  <si>
    <t>Academic Institutions</t>
  </si>
  <si>
    <t>Return to Index</t>
  </si>
  <si>
    <t xml:space="preserve">FICE </t>
  </si>
  <si>
    <t xml:space="preserve">Code </t>
  </si>
  <si>
    <t>Order Used</t>
  </si>
  <si>
    <t>Accountability Groups</t>
  </si>
  <si>
    <t>Load Year</t>
  </si>
  <si>
    <t>A</t>
  </si>
  <si>
    <t>B</t>
  </si>
  <si>
    <t>Load_Year</t>
  </si>
  <si>
    <t>FICE</t>
  </si>
  <si>
    <t>Total of</t>
  </si>
  <si>
    <t>Less: Constitutional Funds</t>
  </si>
  <si>
    <t>Total Revenue (Less Constitutional Funds)</t>
  </si>
  <si>
    <t>Net Tuition &amp; Fees</t>
  </si>
  <si>
    <t>Rev_Total</t>
  </si>
  <si>
    <t>Rev_State</t>
  </si>
  <si>
    <t>Rev_Fed</t>
  </si>
  <si>
    <t>UNIV_IE_KEYs Data Labels</t>
  </si>
  <si>
    <t>Per Amount</t>
  </si>
  <si>
    <t>Divided by: FTSE</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</si>
  <si>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</si>
  <si>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</si>
  <si>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</si>
  <si>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</si>
  <si>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</si>
  <si>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</si>
  <si>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</si>
  <si>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</si>
  <si>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</si>
  <si>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</si>
  <si>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</si>
  <si>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</si>
  <si>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HRI  Institutions - Side by Side Summary</t>
  </si>
  <si>
    <t>HRI Institutions - Summary</t>
  </si>
  <si>
    <t>FTFE-Annual</t>
  </si>
  <si>
    <t>Data to Accountability System</t>
  </si>
  <si>
    <t>HRI Institutions</t>
  </si>
  <si>
    <t>Rev_TuitandFees</t>
  </si>
  <si>
    <t>Rev_OtherLocal</t>
  </si>
  <si>
    <t>Federal Grants &amp; contracts</t>
  </si>
  <si>
    <t>Constitutional Funds</t>
  </si>
  <si>
    <t>Rev_Const</t>
  </si>
  <si>
    <t>FTEStu</t>
  </si>
  <si>
    <t>FTEFac</t>
  </si>
  <si>
    <t>Full Time Faculty Equiv.</t>
  </si>
  <si>
    <t>I8</t>
  </si>
  <si>
    <t>ExpFTEStu</t>
  </si>
  <si>
    <t>ExpFTEFac</t>
  </si>
  <si>
    <t>Constitutional Revenue</t>
  </si>
  <si>
    <t>Less Tyler</t>
  </si>
  <si>
    <t>Less MD Anderson</t>
  </si>
  <si>
    <t>Tot. Expenses w/o Tyler &amp; MDA</t>
  </si>
  <si>
    <t>Excluding Aux., Public Service, Hos. &amp; Clinics</t>
  </si>
  <si>
    <t>Less: Professional Fees Revenue</t>
  </si>
  <si>
    <t>Less: Hospital &amp; Clinic Revenue</t>
  </si>
  <si>
    <t>Expenditures Per FTFE</t>
  </si>
  <si>
    <t xml:space="preserve"> Expenditures Per FTSE</t>
  </si>
  <si>
    <t>Prairie View A&amp;M University</t>
  </si>
  <si>
    <t>Texas A&amp;M University - Texarkana</t>
  </si>
  <si>
    <t>University of Houston - Downtown</t>
  </si>
  <si>
    <t>University of Houston - Victoria</t>
  </si>
  <si>
    <t>Texas State Technical College - West Texas</t>
  </si>
  <si>
    <t>Gross Student Tuition and Fees</t>
  </si>
  <si>
    <t>S76 &amp; S77 Normally 0</t>
  </si>
  <si>
    <t>Checked Ok</t>
  </si>
  <si>
    <t xml:space="preserve"> respectively. Unrealized gains and additions to permanent endowments do not contribute to the availability of the institution's operating cash as discussed in FN6 and FN7.</t>
  </si>
  <si>
    <t>Total Net Tuition and Fees (Funds Collected)</t>
  </si>
  <si>
    <t>(Auxiliary excluded)</t>
  </si>
  <si>
    <t>Texas A&amp;M Health Science Center</t>
  </si>
  <si>
    <t>University of Texas Health Science Center at Houston</t>
  </si>
  <si>
    <t>University of Texas Health Science Center at San Antonio</t>
  </si>
  <si>
    <t>University of Texas M.D. Anderson Cancer Center</t>
  </si>
  <si>
    <t>University of Texas Medical Branch at Galveston</t>
  </si>
  <si>
    <t>Dollars</t>
  </si>
  <si>
    <t>-</t>
  </si>
  <si>
    <t xml:space="preserve">Total Revenue </t>
  </si>
  <si>
    <t>Debt Service</t>
  </si>
  <si>
    <t>Not used for FY 2013 - See space model tab in research.</t>
  </si>
  <si>
    <t>FY 2013 Summary of Data for Health-Related Institutions Space Model</t>
  </si>
  <si>
    <t>Not used in space model</t>
  </si>
  <si>
    <t>The University of Texas Southwestern Medical Center</t>
  </si>
  <si>
    <t>TTUHSCEP</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</si>
  <si>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</si>
  <si>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</si>
  <si>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</si>
  <si>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</si>
  <si>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</si>
  <si>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</si>
  <si>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</si>
  <si>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UHS</t>
  </si>
  <si>
    <t>Totals 12-11-2013</t>
  </si>
  <si>
    <t xml:space="preserve"> December 11, 2013</t>
  </si>
  <si>
    <t>Check Links before using.</t>
  </si>
  <si>
    <t>Calculated FTSE</t>
  </si>
  <si>
    <t>Total Hash</t>
  </si>
  <si>
    <t xml:space="preserve">Output to </t>
  </si>
  <si>
    <t>Sources and Uses - Summary Sum</t>
  </si>
  <si>
    <t>Federal Revenues</t>
  </si>
  <si>
    <t>Institutional Revenue (Less Aux.)</t>
  </si>
  <si>
    <t>Auxiliary</t>
  </si>
  <si>
    <t>Total Sources</t>
  </si>
  <si>
    <t>Pie</t>
  </si>
  <si>
    <t>Copy and Paste Values into Overview - Data Tab - HRI T&amp;F section.</t>
  </si>
  <si>
    <t>Sources &amp; Uses Output for SREB Survey</t>
  </si>
  <si>
    <t>Net Tuition and Fees from Sources and Uses</t>
  </si>
  <si>
    <t>Code</t>
  </si>
  <si>
    <t>S&amp;U</t>
  </si>
  <si>
    <t>Texas Tech University Health Sciences Center at El Paso</t>
  </si>
  <si>
    <t>Total from Smmy FGD</t>
  </si>
  <si>
    <t>Texas State University</t>
  </si>
  <si>
    <t>Gross T &amp; Fees Less Aux.</t>
  </si>
  <si>
    <t>Total Discounts &amp; Allowances excludes Aux.</t>
  </si>
  <si>
    <t>Additions for SHEF Survey</t>
  </si>
  <si>
    <t>Gross Tuition as reported on AFR excludes Aux.</t>
  </si>
  <si>
    <t>Net Tuition</t>
  </si>
  <si>
    <t>Gross Fees as reported on AFR excludes Aux.</t>
  </si>
  <si>
    <t>Net Fees</t>
  </si>
  <si>
    <t>Copy and Paste total to Overview - Data Tab -SHEF Survey Specific Items - Academic Institutions</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</si>
  <si>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</si>
  <si>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</si>
  <si>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</si>
  <si>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</si>
  <si>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</si>
  <si>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</si>
  <si>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</si>
  <si>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</si>
  <si>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(M105)</t>
  </si>
  <si>
    <t>SRECNP</t>
  </si>
  <si>
    <t>Source: FY 2014 Sources &amp; Uses</t>
  </si>
  <si>
    <t>Not Currently Used</t>
  </si>
  <si>
    <t>Needs to be updated for El Paso</t>
  </si>
  <si>
    <t>Manual Update</t>
  </si>
  <si>
    <t>Fice</t>
  </si>
  <si>
    <t>Institution Space Model Data Summary</t>
  </si>
  <si>
    <t>Updated</t>
  </si>
  <si>
    <t>For Accountability Use; Source Victor</t>
  </si>
  <si>
    <t>For HRI IE Keys</t>
  </si>
  <si>
    <t>12-12-14 Totals</t>
  </si>
  <si>
    <t>TSTCWT</t>
  </si>
  <si>
    <t>Balancing Schedule</t>
  </si>
  <si>
    <t>SRCENP Total</t>
  </si>
  <si>
    <t>Hash Total vs. Input</t>
  </si>
  <si>
    <t>Gross T&amp;F</t>
  </si>
  <si>
    <t>T &amp; F Disc.</t>
  </si>
  <si>
    <t>SRECNP Expenditures</t>
  </si>
  <si>
    <t>Space Model</t>
  </si>
  <si>
    <t>IO_Total</t>
  </si>
  <si>
    <t>IO_Med</t>
  </si>
  <si>
    <t>IO_Dental</t>
  </si>
  <si>
    <t>IO_BioMed</t>
  </si>
  <si>
    <t>IO_Allied</t>
  </si>
  <si>
    <t>IO_Nursing</t>
  </si>
  <si>
    <t>IO_Pub</t>
  </si>
  <si>
    <t>IO_Pharm</t>
  </si>
  <si>
    <t>For Institution Specific Questions, Please Contact the Institution Point of Contact</t>
  </si>
  <si>
    <t>Institutional Support and OM of plant</t>
  </si>
  <si>
    <t>Less: Public Svc/Hosp &amp; Cl</t>
  </si>
  <si>
    <t xml:space="preserve">FY 2015 Closing The Gaps Cost Estimate Data From Sources &amp; Uses Reports </t>
  </si>
  <si>
    <t>FY 15</t>
  </si>
  <si>
    <t>FY 20xx Graduates</t>
  </si>
  <si>
    <t>Copy Green items below to HRI NO. 23(22) inst funds ftse FY xx</t>
  </si>
  <si>
    <t>Institution Sources &amp; Uses Contact Information:</t>
  </si>
  <si>
    <t>Texas A&amp;M Office of Sponsored Research Services</t>
  </si>
  <si>
    <t>TAMSR</t>
  </si>
  <si>
    <t>Texas A&amp;M office of Technology &amp; Commercialization</t>
  </si>
  <si>
    <t>TAMTC</t>
  </si>
  <si>
    <t>The University of Texas at Austin - Medical School &amp; Health Prof (M+H)</t>
  </si>
  <si>
    <t>AUS2</t>
  </si>
  <si>
    <t>The University of Texas RGV - Medical School&amp; Health Prof (M+H)</t>
  </si>
  <si>
    <t>RGV2</t>
  </si>
  <si>
    <t>Checked Ok.</t>
  </si>
  <si>
    <t>Copy from HRI no 23(22) inst funds ftse file - Accountability Folder</t>
  </si>
  <si>
    <t>\\thecb-auvfs41\SAS\Janice\Janice's Programs\FacFTEAppt_med.sas</t>
  </si>
  <si>
    <t>*Defined as any capital outlay expenses from Educational &amp; General, Designated, Auxiliary, or Restricted Expendable Funds.</t>
  </si>
  <si>
    <t>The University of Texas Health Science Center at Tyler</t>
  </si>
  <si>
    <t>Higher Education Fund</t>
  </si>
  <si>
    <t>University of Texas Health Science Center at Tyler</t>
  </si>
  <si>
    <t>UT Health Science Center Tyler</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</si>
  <si>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</si>
  <si>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Health - Related  Institutions - FY 2016</t>
  </si>
  <si>
    <t>HEF</t>
  </si>
  <si>
    <t>Higher Education Fund - As Adjusted</t>
  </si>
  <si>
    <t>U:tility Survey Ordering</t>
  </si>
  <si>
    <t>The University of Texas at Austin - Academic &amp; Health (A+H)</t>
  </si>
  <si>
    <t>AUS1</t>
  </si>
  <si>
    <t>The University of Texas at Austin - Academic Only (A)</t>
  </si>
  <si>
    <t>The University of Texas RGV - Academic &amp; Health (A+H)</t>
  </si>
  <si>
    <t>RGV1</t>
  </si>
  <si>
    <t>The University of Texas RGV - Academic Only (A)</t>
  </si>
  <si>
    <t>The University of Texas at Austin -  All Disciplines (A+H+M)</t>
  </si>
  <si>
    <t>The University of Texas RGV - All Disciplines (A+H+M)</t>
  </si>
  <si>
    <t>RGV</t>
  </si>
  <si>
    <t>The University of Texas at Austin Medical School (M)</t>
  </si>
  <si>
    <t>The University of Texas Rio Grande Valley Medical School (M)</t>
  </si>
  <si>
    <t>Texas Tech Univ HSC at El Paso</t>
  </si>
  <si>
    <t>UT Austin Medical School</t>
  </si>
  <si>
    <t>RGV Medical School</t>
  </si>
  <si>
    <t>501 - S &amp; U - FY 2016 - AUS2.xlsx</t>
  </si>
  <si>
    <t>511 - S &amp; U - FY 2016 - RGV2.xlsx</t>
  </si>
  <si>
    <t>52 - S &amp; U - FY 2016 - AUS2.xlsx</t>
  </si>
  <si>
    <t>93 - S &amp; U - FY 2016 - RGV2.xlsx</t>
  </si>
  <si>
    <t>Texas Tech HSC at El Paso</t>
  </si>
  <si>
    <t>12 Ok</t>
  </si>
  <si>
    <t xml:space="preserve"> 12 OK</t>
  </si>
  <si>
    <t>AUSM</t>
  </si>
  <si>
    <t>RGVM</t>
  </si>
  <si>
    <t>Hospital &amp; Clinic Expenditures</t>
  </si>
  <si>
    <t>Distribution of Capital Outlay by Function Capital Outlay - Current Fund Sources</t>
  </si>
  <si>
    <t>Total Healthcare Expenditures</t>
  </si>
  <si>
    <t>Contact:</t>
  </si>
  <si>
    <t>Joyce E. Jauer (Joy)</t>
  </si>
  <si>
    <t>Senior Data Analyst</t>
  </si>
  <si>
    <t>Data Analysis &amp; Transparency</t>
  </si>
  <si>
    <t>Texas Comptroller of Public Accounts</t>
  </si>
  <si>
    <t>512-936-8495  joyce.jauer@cpa.texas.gov</t>
  </si>
  <si>
    <t>Send this tab to Joy on an annual basis, when complete.</t>
  </si>
  <si>
    <t xml:space="preserve">University of Texas Southwestern Medical Center </t>
  </si>
  <si>
    <t xml:space="preserve">University of North Texas Health Science Center </t>
  </si>
  <si>
    <t>635 - S &amp; U - FY 2015 - TAMRF.xlsx</t>
  </si>
  <si>
    <t>637 - S &amp; U - FY 2015 - TAMSR.xlsx</t>
  </si>
  <si>
    <t>639 - S &amp; U - FY 2015 - TAMTC.xlsx</t>
  </si>
  <si>
    <t>FY 2017- 2025</t>
  </si>
  <si>
    <t>** Hidden Row - Do not delete.**</t>
  </si>
  <si>
    <t>** Hidden Row - Do not Delete.**</t>
  </si>
  <si>
    <t>**Hidden Row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</si>
  <si>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</si>
  <si>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</si>
  <si>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</si>
  <si>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</si>
  <si>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</si>
  <si>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</si>
  <si>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</si>
  <si>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</si>
  <si>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</si>
  <si>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Medical &amp; Dental Education for SSDB survey</t>
  </si>
  <si>
    <t>TX TECH HSC-EL PASO</t>
  </si>
  <si>
    <t>UT Medical School</t>
  </si>
  <si>
    <t>Copy from 0-HRI-FacFTEAppt - History FY -x.xlsx</t>
  </si>
  <si>
    <t xml:space="preserve">       All Other Scholarship Disc.&amp; Allow. (See FN1)</t>
  </si>
  <si>
    <t>Net Auxiliary Enterprises (See FN9)</t>
  </si>
  <si>
    <t>Auxiliary Enterprises (See FN9)</t>
  </si>
  <si>
    <t>Less: Scholarships Discounts &amp; Allowances (See FN1)</t>
  </si>
  <si>
    <t>Data to HRI_IE_Context</t>
  </si>
  <si>
    <t>Not Used</t>
  </si>
  <si>
    <t>HRI_IE_Context File Table Columns</t>
  </si>
  <si>
    <t>K</t>
  </si>
  <si>
    <t>L</t>
  </si>
  <si>
    <t>M</t>
  </si>
  <si>
    <t xml:space="preserve">N </t>
  </si>
  <si>
    <t>O</t>
  </si>
  <si>
    <t>Q</t>
  </si>
  <si>
    <t>R</t>
  </si>
  <si>
    <t xml:space="preserve">S </t>
  </si>
  <si>
    <t>U</t>
  </si>
  <si>
    <t>HRI_IE_Context Data Labels</t>
  </si>
  <si>
    <t>Rev_HospClinic</t>
  </si>
  <si>
    <t>Rev_ProfFees</t>
  </si>
  <si>
    <t>Rev_Other</t>
  </si>
  <si>
    <t>Hospital &amp; Clinic Revenue</t>
  </si>
  <si>
    <t>Professional Fees Revenue</t>
  </si>
  <si>
    <t>Data to UNIV_IE_Keys</t>
  </si>
  <si>
    <t>UNIV_IE_KEYs Columns</t>
  </si>
  <si>
    <t>F</t>
  </si>
  <si>
    <t>G</t>
  </si>
  <si>
    <t>H</t>
  </si>
  <si>
    <t>I</t>
  </si>
  <si>
    <t>J</t>
  </si>
  <si>
    <t>N</t>
  </si>
  <si>
    <t>Purpose:  This tab is used for input to the Institutional Resume System</t>
  </si>
  <si>
    <t>Hash Totals</t>
  </si>
  <si>
    <t>Measures</t>
  </si>
  <si>
    <t>InstructionPerFTSE</t>
  </si>
  <si>
    <t>AcademicSpptPerFTSE</t>
  </si>
  <si>
    <t>InstitutionalSpptPerFTSE</t>
  </si>
  <si>
    <t>OtherPerFTSE</t>
  </si>
  <si>
    <t>TotExpFTEStu</t>
  </si>
  <si>
    <t>TotExpFTEFac</t>
  </si>
  <si>
    <t xml:space="preserve">Health-Related Institutions </t>
  </si>
  <si>
    <t>Copied 4/27/17</t>
  </si>
  <si>
    <t>FY 17</t>
  </si>
  <si>
    <t>RGV Medical School (M)</t>
  </si>
  <si>
    <t>UT Austin Medical School (M)</t>
  </si>
  <si>
    <t>TSTCNT</t>
  </si>
  <si>
    <t>TSTCFB</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</si>
  <si>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</si>
  <si>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</si>
  <si>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</si>
  <si>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</si>
  <si>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</si>
  <si>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</si>
  <si>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</si>
  <si>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</si>
  <si>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</si>
  <si>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</si>
  <si>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</si>
  <si>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</si>
  <si>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12 OK</t>
  </si>
  <si>
    <t>Values</t>
  </si>
  <si>
    <t>Balanced</t>
  </si>
  <si>
    <t>OK</t>
  </si>
  <si>
    <t>Sent to Ken &amp; Jennifer</t>
  </si>
  <si>
    <t xml:space="preserve">Values </t>
  </si>
  <si>
    <t>Inst/Funding Cat</t>
  </si>
  <si>
    <t>Ug SCH</t>
  </si>
  <si>
    <t>M SCH</t>
  </si>
  <si>
    <t>D SCH</t>
  </si>
  <si>
    <t>P-Count</t>
  </si>
  <si>
    <t>M-Count</t>
  </si>
  <si>
    <t>FTSE</t>
  </si>
  <si>
    <t xml:space="preserve">The University of Texas Southwestern Medical Center              </t>
  </si>
  <si>
    <t xml:space="preserve">Medical Education - Dallas            </t>
  </si>
  <si>
    <t xml:space="preserve">Biomedical Science - Dallas           </t>
  </si>
  <si>
    <t xml:space="preserve">Allied Health - Dallas                </t>
  </si>
  <si>
    <t xml:space="preserve">The University of Texas Medical Branch at Galveston              </t>
  </si>
  <si>
    <t xml:space="preserve">Medical Education - Galveston         </t>
  </si>
  <si>
    <t xml:space="preserve">Medical Education - Austin (870)      </t>
  </si>
  <si>
    <t xml:space="preserve">Biomedical Science - Galveston        </t>
  </si>
  <si>
    <t xml:space="preserve">Allied Health - Galveston             </t>
  </si>
  <si>
    <t xml:space="preserve">Nursing - Galveston                   </t>
  </si>
  <si>
    <t xml:space="preserve">Public Health - Galveston             </t>
  </si>
  <si>
    <t xml:space="preserve">The University of Texas Health Science Center at Houston         </t>
  </si>
  <si>
    <t xml:space="preserve">The University of Texas Health Science Center at San Antonio     </t>
  </si>
  <si>
    <t xml:space="preserve">The University of Texas M.D. Anderson Cancer Center              </t>
  </si>
  <si>
    <t xml:space="preserve">Allied Health - Houston               </t>
  </si>
  <si>
    <t xml:space="preserve">The University of Texas Health Science Center at Tyler           </t>
  </si>
  <si>
    <t xml:space="preserve">Biomedical Science                    </t>
  </si>
  <si>
    <t xml:space="preserve">Public Health - Tyler                 </t>
  </si>
  <si>
    <t xml:space="preserve">Texas A&amp;M University System Health Science Center                </t>
  </si>
  <si>
    <t xml:space="preserve">University of North Texas Health Science Center                  </t>
  </si>
  <si>
    <t xml:space="preserve">Texas Tech University Health Sciences Center                     </t>
  </si>
  <si>
    <t xml:space="preserve">Texas Tech University Health Sciences Center-El Paso             </t>
  </si>
  <si>
    <t xml:space="preserve">Medical Education                     </t>
  </si>
  <si>
    <t xml:space="preserve">Nursing                               </t>
  </si>
  <si>
    <t xml:space="preserve">Biomedical Science - El Paso          </t>
  </si>
  <si>
    <t xml:space="preserve">The University of Texas-Rio Grande Valley - Medical School       </t>
  </si>
  <si>
    <t>STATEWIDE TOTAL</t>
  </si>
  <si>
    <t>Masters also includes Post-Baccalaureate, AUD, DPT, and PharmD.</t>
  </si>
  <si>
    <t>Doctoral omits SCH over the SCH limit.</t>
  </si>
  <si>
    <t>FE = 2 - Professional enrolled in academic classwork:  excluded from count.</t>
  </si>
  <si>
    <t>M Cnt is Professional Practice.</t>
  </si>
  <si>
    <t>FTSE = Sum of (Ugrad SCH / 30), (Masters SCH / 24), (Doctoral SCH / 18), and Headcounts</t>
  </si>
  <si>
    <t>Source:  Texas Higher Education Coordinating Board - 31 Jan 2018</t>
  </si>
  <si>
    <t>Generated from \FormFund\BY 2017\XM17-014\HRI\NewRptH.sas - NewRptHm.sas</t>
  </si>
  <si>
    <t xml:space="preserve">The University of Texas at Austin Medical School            </t>
  </si>
  <si>
    <t>Source: David M.</t>
  </si>
  <si>
    <t>Health Related Institutions</t>
  </si>
  <si>
    <t>File</t>
  </si>
  <si>
    <t>FactHRIContextDollars</t>
  </si>
  <si>
    <t>DimReshType</t>
  </si>
  <si>
    <t>ResOrderCode</t>
  </si>
  <si>
    <t>Insttype Code</t>
  </si>
  <si>
    <t>Data Labels</t>
  </si>
  <si>
    <t>05</t>
  </si>
  <si>
    <t>9 Ok</t>
  </si>
  <si>
    <t xml:space="preserve"> Hash Totals</t>
  </si>
  <si>
    <t>Purpose:  This tab is used for input to the Accountability System</t>
  </si>
  <si>
    <t>FactHRIperFTSE</t>
  </si>
  <si>
    <t>ExpendType Code</t>
  </si>
  <si>
    <t>DimYear</t>
  </si>
  <si>
    <t>Instructional Support Expenditures Per FTSE</t>
  </si>
  <si>
    <t>Academic Support Expenditures Per FTSE</t>
  </si>
  <si>
    <t>Institutional Support Expenditures Per FTSE</t>
  </si>
  <si>
    <t>Other Expenditures Per FTSE</t>
  </si>
  <si>
    <t xml:space="preserve"> Total Operating Expenses Per FTSE</t>
  </si>
  <si>
    <t>TotExpenditures Per FTFE</t>
  </si>
  <si>
    <t>Instructional</t>
  </si>
  <si>
    <t>AcadSupport</t>
  </si>
  <si>
    <t>InstSupport</t>
  </si>
  <si>
    <t>OthrExp</t>
  </si>
  <si>
    <t>Expenditures</t>
  </si>
  <si>
    <t>I42</t>
  </si>
  <si>
    <t>I46</t>
  </si>
  <si>
    <t>I55</t>
  </si>
  <si>
    <t>11 ok</t>
  </si>
  <si>
    <t>Values 2/14/18</t>
  </si>
  <si>
    <t>FY 2018 - Year Ended August 31, 2018</t>
  </si>
  <si>
    <t>FY 2018</t>
  </si>
  <si>
    <t>FY 2018 Healthcare Expenditures for Comptroller's Report</t>
  </si>
  <si>
    <t>FY 2018 Data For IFRS Reconciliation</t>
  </si>
  <si>
    <t>Note:  This version is no longer used.</t>
  </si>
  <si>
    <t>FY 2018 Data For Almanac Publication</t>
  </si>
  <si>
    <t>FY 2018 Accountability Data From Sources &amp; Uses Reports  For TRB Evaluations</t>
  </si>
  <si>
    <t>FY 2018 Summary of Net Tuition and Fees</t>
  </si>
  <si>
    <t xml:space="preserve">FY 2018 Institutional Resume Data From Sources &amp; Uses Reports  To HRI_IE_Context </t>
  </si>
  <si>
    <t xml:space="preserve">FY 2018 Institutional Resumes Data From Sources &amp; Uses Reports  To UNIV_IE_KEYS </t>
  </si>
  <si>
    <t>FY 2018 Accountability Data From Sources &amp; Uses Reports  To FactHRIperFTSE</t>
  </si>
  <si>
    <t>Detail Worksheet FY 2018</t>
  </si>
  <si>
    <t>Summary Worksheet FY 2018</t>
  </si>
  <si>
    <t>For the Year Ended August 31, 2018</t>
  </si>
  <si>
    <t>Source: FY 2018 Annual Financial Report</t>
  </si>
  <si>
    <t>S40 - S &amp; U - FY 2018 - UTS.xlsx</t>
  </si>
  <si>
    <t>40 - S &amp; U - FY 2018 - ARL.xlsx</t>
  </si>
  <si>
    <t>51 - S &amp; U - FY 2018 - AUS1.xlsx</t>
  </si>
  <si>
    <t>60 - S &amp; U - FY 2018 - DAL.xlsx</t>
  </si>
  <si>
    <t>70 - S &amp; U - FY 2018 - E-P.xlsx</t>
  </si>
  <si>
    <t>91 - S &amp; U - FY 2018 - RGV1.xlsx</t>
  </si>
  <si>
    <t>100 - S &amp; U - FY 2018 - P-B.xlsx</t>
  </si>
  <si>
    <t>110 - S &amp; U - FY 2018 - S-A.xlsx</t>
  </si>
  <si>
    <t>120 - S &amp; U - FY 2018 - TYL.xlsx</t>
  </si>
  <si>
    <t>S130 - S &amp; U - FY 2018 - TAMUS.xlsx</t>
  </si>
  <si>
    <t>130 - S &amp; U - FY 2018 - TAMU.xlsx</t>
  </si>
  <si>
    <t>140 - S &amp; U - FY 2018 - TAMUG.xlsx</t>
  </si>
  <si>
    <t>150 - S &amp; U - FY 2018 - PVAMU.xlsx</t>
  </si>
  <si>
    <t>160 - S &amp; U - FY 2018 - TARL ST.xlsx</t>
  </si>
  <si>
    <t>170 - S &amp; U - FY 2018 - TAMUCC.xlsx</t>
  </si>
  <si>
    <t>180 - S &amp; U - FY 2018 - TAMUK.xlsx</t>
  </si>
  <si>
    <t>190 - S &amp; U - FY 2018 - TAMIU.xlsx</t>
  </si>
  <si>
    <t>200 - S &amp; U - FY 2018 - WTAMU.xlsx</t>
  </si>
  <si>
    <t>210 - S &amp; U - FY 2018 - TAMUC.xlsx</t>
  </si>
  <si>
    <t>220 - S &amp; U - FY 2018 - TAMUT.xlsx</t>
  </si>
  <si>
    <t>223 - S &amp; U - FY 2018 - TAMUCT.xlsx</t>
  </si>
  <si>
    <t>226 - S &amp; U - FY 2018 - TAMUSA.xlsx</t>
  </si>
  <si>
    <t>600 - S &amp; U - FY 2018 - TAR.xlsx</t>
  </si>
  <si>
    <t>605 - S &amp; U - FY 2018 - TAES.xlsx</t>
  </si>
  <si>
    <t>610 - S &amp; U - FY 2018 - TEES1.xlsx</t>
  </si>
  <si>
    <t>615 - S &amp; U - FY 2018 - TEES2.xlsx</t>
  </si>
  <si>
    <t>620 - S &amp; U - FY 2018 - TFS.xlsx</t>
  </si>
  <si>
    <t>625 - S &amp; U - FY 2018 - TTI.xlsx</t>
  </si>
  <si>
    <t>630 - S &amp; U - FY 2018 - TVMDL.xlsx</t>
  </si>
  <si>
    <t>S230 - S &amp; U - FY 2018 - UTS.xlsx</t>
  </si>
  <si>
    <t>230 - S &amp; U - FY 2018 - UH.xlsx</t>
  </si>
  <si>
    <t>240 - S &amp; U - FY 2018 - UHCL.xlsx</t>
  </si>
  <si>
    <t>250 - S &amp; U - FY 2018 - UHD.xlsx</t>
  </si>
  <si>
    <t>260 - S &amp; U - FY 2018 - UHV.xlsx</t>
  </si>
  <si>
    <t>S270 - S &amp; U - FY 2018 - TXSTS.xlsx</t>
  </si>
  <si>
    <t>270 - S &amp; U - FY 2018 - LU.xlsx</t>
  </si>
  <si>
    <t>280 - S &amp; U - FY 2018 - SHSU.xlsx</t>
  </si>
  <si>
    <t>290 - S &amp; U - FY 2018 - TXST.xlsx</t>
  </si>
  <si>
    <t>300 - S &amp; U - FY 2018 - SRSU.xlsx</t>
  </si>
  <si>
    <t>S310 - S &amp; U - FY 2018 - TTUS.xlsx</t>
  </si>
  <si>
    <t>310 - S &amp; U - FY 2018 - TTU.xlsx</t>
  </si>
  <si>
    <t>320 - S &amp; U - FY 2018 - ASU.xlsx</t>
  </si>
  <si>
    <t>S330 - S &amp; U - FY 2018 - UNTS.xlsx</t>
  </si>
  <si>
    <t>330 - S &amp; U - FY 2018 - UNT.xlsx</t>
  </si>
  <si>
    <t>333 - S &amp; U - FY 2018 - UNTD.xlsx</t>
  </si>
  <si>
    <t>340 - S &amp; U - FY 2018 - MidWST.xlsx</t>
  </si>
  <si>
    <t>350 - S &amp; U - FY 2018 - SFA.xlsx</t>
  </si>
  <si>
    <t>360 - S &amp; U - FY 2018 - TSU.xlsx</t>
  </si>
  <si>
    <t>370 - S &amp; U - FY 2018 - TWU.xlsx</t>
  </si>
  <si>
    <t>490 - S &amp; U - FY 2018 - LIT.xlsx</t>
  </si>
  <si>
    <t>500 - S &amp; U - FY 2018 - LSCO.xlsx</t>
  </si>
  <si>
    <t>510 - S &amp; U - FY 2018 - LSCPA.xlsx</t>
  </si>
  <si>
    <t>520 - S &amp; U - FY 2018 - TSTCH.xlsx</t>
  </si>
  <si>
    <t>530 - S &amp; U - FY 2018 - TSTCWT.xlsx</t>
  </si>
  <si>
    <t>540 - S &amp; U - FY 2018 - TSTCM.xlsx</t>
  </si>
  <si>
    <t>550 - S &amp; U - FY 2018 - TSTCW.xlsx</t>
  </si>
  <si>
    <t>552 - S &amp; U - FY 2018 - TSTCNT.xlsx</t>
  </si>
  <si>
    <t>553 - S &amp; U - FY 2018 - TSTCFB.xlsx</t>
  </si>
  <si>
    <t>555 - S &amp; U - FY 2018 - TSTCS.xlsx</t>
  </si>
  <si>
    <t>390 - S &amp; U - FY 2018 - SWM.xlsx</t>
  </si>
  <si>
    <t>420 - S &amp; U - FY 2018 - HSSA.xlsx</t>
  </si>
  <si>
    <t>450 - S &amp; U - FY 2018 - TAMHSC.xlsx</t>
  </si>
  <si>
    <t>460 - S &amp; U - FY 2018 - UNTHSC.xlsx</t>
  </si>
  <si>
    <t>470 - S &amp; U - FY 2018 - TTUHSC.xlsx</t>
  </si>
  <si>
    <t>480 - S &amp; U - FY 2018 - TTUHSCEP.xlsx</t>
  </si>
  <si>
    <t>410 - S &amp; U - FY 2018 - HSH.xlsx</t>
  </si>
  <si>
    <t>430 - S &amp; U - FY 2018 - MDA.xlsx</t>
  </si>
  <si>
    <t>440 - S &amp; U - FY 2018 - THC.xlsx</t>
  </si>
  <si>
    <t>400 - S &amp; U - FY 2018 - MBG.xlsx</t>
  </si>
  <si>
    <t>500 - S &amp; U - FY 2018 - RGVM.xlsx</t>
  </si>
  <si>
    <t>510 - S &amp; U - FY 2018 - AUSM.xlsx</t>
  </si>
  <si>
    <t>50 - S &amp; U - FY 2018 - AUS.xlsx</t>
  </si>
  <si>
    <t>90 - S &amp; U - FY 2018 - RGV.xlsx</t>
  </si>
  <si>
    <t>Texas Public Health-Related Institutions, FY 2018</t>
  </si>
  <si>
    <t>HRI Operating Sources (Sources &amp; Uses)</t>
  </si>
  <si>
    <t>% of Total</t>
  </si>
  <si>
    <t>Total Health-Related Institutions</t>
  </si>
  <si>
    <t>Sandra Tapia</t>
  </si>
  <si>
    <t>915-215-4790</t>
  </si>
  <si>
    <t>Sandra.tapia@ttuhsc.edu</t>
  </si>
  <si>
    <t>Rebecca Aguilar</t>
  </si>
  <si>
    <t>(806) 743-7381</t>
  </si>
  <si>
    <t>rebecca.aguilar@ttuhsc.edu</t>
  </si>
  <si>
    <t>John Schmidt</t>
  </si>
  <si>
    <t>214-648-0888</t>
  </si>
  <si>
    <t>John.Schmidt@UTSouthwestern.edu</t>
  </si>
  <si>
    <t>Scott Barnett</t>
  </si>
  <si>
    <t>713/500-4915</t>
  </si>
  <si>
    <t>Scott.Barnett@uth.tmc.edu</t>
  </si>
  <si>
    <t>Yinwen Li</t>
  </si>
  <si>
    <t>(210) 562-6268</t>
  </si>
  <si>
    <t>LIY2@uthscsa.edu</t>
  </si>
  <si>
    <t>MARIA AGNES  D. CRUZ</t>
  </si>
  <si>
    <t>713-745-9518</t>
  </si>
  <si>
    <t>mcruz@mdanderson.org</t>
  </si>
  <si>
    <t>Natalie Harms</t>
  </si>
  <si>
    <t>(903) 877-7855</t>
  </si>
  <si>
    <t>natalie.harms@uthct.edu</t>
  </si>
  <si>
    <t>Craig Elmore</t>
  </si>
  <si>
    <t>409-772-7525</t>
  </si>
  <si>
    <t>crelmore@utmb.edu</t>
  </si>
  <si>
    <t>Julie Meisinger</t>
  </si>
  <si>
    <t>817-735-2609</t>
  </si>
  <si>
    <t>julie.meisinger@untsystem.edu</t>
  </si>
  <si>
    <t>Marcy Lowther</t>
  </si>
  <si>
    <t>512-471-2808</t>
  </si>
  <si>
    <t>mlowther@austin.utexas.edu</t>
  </si>
  <si>
    <t>Lilia M. St. Clair</t>
  </si>
  <si>
    <t>956-665-7906</t>
  </si>
  <si>
    <t>lilia.stclair@utrgv.edu</t>
  </si>
  <si>
    <t>Monica Poehl</t>
  </si>
  <si>
    <t>979-458-6090</t>
  </si>
  <si>
    <t>mpoehl@tamus.edu</t>
  </si>
  <si>
    <t>009348</t>
  </si>
  <si>
    <t>Medical Education - Houston</t>
  </si>
  <si>
    <t>004951</t>
  </si>
  <si>
    <t>Dental Education - Houston</t>
  </si>
  <si>
    <t>000411</t>
  </si>
  <si>
    <t>004954</t>
  </si>
  <si>
    <t>Biomedical Science - Houston</t>
  </si>
  <si>
    <t>109348</t>
  </si>
  <si>
    <t>000410</t>
  </si>
  <si>
    <t>Allied Health (Dental) - Houston</t>
  </si>
  <si>
    <t>000203</t>
  </si>
  <si>
    <t>Allied Health (Informatics) - Houston</t>
  </si>
  <si>
    <t>000201</t>
  </si>
  <si>
    <t>Nursing - Houston</t>
  </si>
  <si>
    <t>006956</t>
  </si>
  <si>
    <t>Public Health - Houston</t>
  </si>
  <si>
    <t>003659</t>
  </si>
  <si>
    <t>Medical Education - San Antonio</t>
  </si>
  <si>
    <t>000304</t>
  </si>
  <si>
    <t>Dental Education - San Antonio</t>
  </si>
  <si>
    <t>009799</t>
  </si>
  <si>
    <t>000301</t>
  </si>
  <si>
    <t>Biomedical Science - San Antonio</t>
  </si>
  <si>
    <t>000303</t>
  </si>
  <si>
    <t>Allied Health - San Antonio</t>
  </si>
  <si>
    <t>000305</t>
  </si>
  <si>
    <t>000311</t>
  </si>
  <si>
    <t>Allied Health (Dental Hygiene) - San Antonio</t>
  </si>
  <si>
    <t>000302</t>
  </si>
  <si>
    <t>Nursing - San Antonio</t>
  </si>
  <si>
    <t>000080</t>
  </si>
  <si>
    <t>Medical Education - College Station</t>
  </si>
  <si>
    <t>004948</t>
  </si>
  <si>
    <t>Dental Education - Dallas (850)</t>
  </si>
  <si>
    <t>000406</t>
  </si>
  <si>
    <t>000180</t>
  </si>
  <si>
    <t>Biomedical Science - College Station</t>
  </si>
  <si>
    <t>000417</t>
  </si>
  <si>
    <t>Biomedical Science (Dental) - Dallas (850)</t>
  </si>
  <si>
    <t>000405</t>
  </si>
  <si>
    <t>Allied Health (Dental) - Dallas (850)</t>
  </si>
  <si>
    <t>000079</t>
  </si>
  <si>
    <t>Nursing - College Station</t>
  </si>
  <si>
    <t>000088</t>
  </si>
  <si>
    <t>Pharmacy - College Station</t>
  </si>
  <si>
    <t>000087</t>
  </si>
  <si>
    <t>Public Health - College Station</t>
  </si>
  <si>
    <t>009768</t>
  </si>
  <si>
    <t>Medical Education - Ft. Worth</t>
  </si>
  <si>
    <t>000131</t>
  </si>
  <si>
    <t>Biomedical Science - Ft. Worth</t>
  </si>
  <si>
    <t>000133</t>
  </si>
  <si>
    <t>Allied Health - Ft. Worth</t>
  </si>
  <si>
    <t>000136</t>
  </si>
  <si>
    <t>Pharmacy - Ft. Worth</t>
  </si>
  <si>
    <t>000134</t>
  </si>
  <si>
    <t>Public Health - Ft. Worth</t>
  </si>
  <si>
    <t>010674</t>
  </si>
  <si>
    <t>Medical Education - Lubbock</t>
  </si>
  <si>
    <t>210674</t>
  </si>
  <si>
    <t>Biomedical Science - Lubbock</t>
  </si>
  <si>
    <t>000413</t>
  </si>
  <si>
    <t>Allied Health - Lubbock</t>
  </si>
  <si>
    <t>110674</t>
  </si>
  <si>
    <t>Nursing - Lubbock</t>
  </si>
  <si>
    <t>000416</t>
  </si>
  <si>
    <t>Pharmacy - Lubbock</t>
  </si>
  <si>
    <t>000419</t>
  </si>
  <si>
    <t>Public Health</t>
  </si>
  <si>
    <t xml:space="preserve"> December 14, 2018</t>
  </si>
  <si>
    <t>Sent to Ken 12/14/2018</t>
  </si>
  <si>
    <t>Values 12/14/2018</t>
  </si>
  <si>
    <t>Hash Values 12/14/18</t>
  </si>
  <si>
    <t>Copied to summary 12/14/2018</t>
  </si>
  <si>
    <t>FY 2018 Annual - Reported in Fall of 2017</t>
  </si>
  <si>
    <t xml:space="preserve"> December 17, 2018</t>
  </si>
  <si>
    <t xml:space="preserve">Hash Values </t>
  </si>
  <si>
    <t>Hash Values 12/17/18</t>
  </si>
  <si>
    <t>Version 2018-3</t>
  </si>
  <si>
    <t>FY 2018 Data to Institutional Resumes</t>
  </si>
  <si>
    <t>SREB Input</t>
  </si>
  <si>
    <t>Healthcare</t>
  </si>
  <si>
    <t>IFRS Smmy (2)</t>
  </si>
  <si>
    <t>TRB Eval HRI</t>
  </si>
  <si>
    <t>T&amp;F Summary</t>
  </si>
  <si>
    <t>HRI_IE_Keys</t>
  </si>
  <si>
    <t>HRI Context NA</t>
  </si>
  <si>
    <t>ComRpt</t>
  </si>
  <si>
    <t>HRI_IE_Context</t>
  </si>
  <si>
    <t xml:space="preserve"> December 18, 2018</t>
  </si>
  <si>
    <t>HRI Keys NA</t>
  </si>
  <si>
    <t>Hash Values 2/4/19</t>
  </si>
  <si>
    <t xml:space="preserve"> February 4, 2019</t>
  </si>
  <si>
    <t>Fed &amp; Private Research Expenditures Per T/TT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</si>
</sst>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0_);_(&quot;$&quot;* \(#,##0.0\);_(&quot;$&quot;* &quot;-&quot;?_);_(@_)"/>
    <numFmt numFmtId="170" formatCode="_(&quot;$&quot;* #,##0_);_(&quot;$&quot;* \(#,##0\);_(&quot;$&quot;* &quot;-&quot;??_);_(@_)"/>
    <numFmt numFmtId="171" formatCode="_(* #,##0.00_);_(* \(#,##0.00\);_(* &quot;-&quot;_);_(@_)"/>
    <numFmt numFmtId="172" formatCode="000000"/>
    <numFmt numFmtId="173" formatCode="_(&quot;$&quot;* #,##0.00_);_(&quot;$&quot;* \(#,##0.00\);_(&quot;$&quot;* &quot;-&quot;_);_(@_)"/>
    <numFmt numFmtId="174" formatCode="m/d/yy;@"/>
  </numFmts>
  <fonts count="80">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24"/>
      <name val="Arial"/>
      <family val="2"/>
    </font>
    <font>
      <b/>
      <sz val="18"/>
      <color indexed="24"/>
      <name val="Arial"/>
      <family val="2"/>
    </font>
    <font>
      <b/>
      <sz val="12"/>
      <color indexed="24"/>
      <name val="Arial"/>
      <family val="2"/>
    </font>
    <font>
      <b/>
      <sz val="22"/>
      <name val="Arial"/>
      <family val="2"/>
    </font>
    <font>
      <sz val="14"/>
      <name val="Arial"/>
      <family val="2"/>
    </font>
    <font>
      <sz val="14"/>
      <name val="Arial"/>
      <family val="2"/>
    </font>
    <font>
      <sz val="8"/>
      <name val="Arial"/>
      <family val="2"/>
    </font>
    <font>
      <b/>
      <u val="singleAccounting"/>
      <sz val="10"/>
      <name val="Arial"/>
      <family val="2"/>
    </font>
    <font>
      <sz val="8"/>
      <color indexed="81"/>
      <name val="Tahoma"/>
      <family val="2"/>
    </font>
    <font>
      <b/>
      <sz val="9"/>
      <name val="Arial"/>
      <family val="2"/>
    </font>
    <font>
      <sz val="10"/>
      <color indexed="24"/>
      <name val="Arial"/>
      <family val="2"/>
    </font>
    <font>
      <b/>
      <sz val="18"/>
      <color indexed="24"/>
      <name val="Arial"/>
      <family val="2"/>
    </font>
    <font>
      <b/>
      <sz val="12"/>
      <color indexed="24"/>
      <name val="Arial"/>
      <family val="2"/>
    </font>
    <font>
      <sz val="10"/>
      <color indexed="10"/>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b/>
      <sz val="11"/>
      <color theme="1"/>
      <name val="Arial"/>
      <family val="2"/>
    </font>
    <font>
      <sz val="11"/>
      <color theme="1"/>
      <name val="Arial"/>
      <family val="2"/>
    </font>
    <font>
      <b/>
      <sz val="12"/>
      <color indexed="8"/>
      <name val="Arial"/>
      <family val="2"/>
    </font>
    <font>
      <b/>
      <sz val="16"/>
      <name val="Arial"/>
      <family val="2"/>
    </font>
    <font>
      <b/>
      <sz val="10"/>
      <color rgb="FF000000"/>
      <name val="Arial"/>
      <family val="2"/>
    </font>
    <font>
      <sz val="10"/>
      <color rgb="FF000000"/>
      <name val="Arial"/>
      <family val="2"/>
    </font>
    <font>
      <b/>
      <sz val="11"/>
      <name val="Calibri"/>
      <family val="2"/>
    </font>
    <font>
      <sz val="10"/>
      <color rgb="FF454545"/>
      <name val="Arial"/>
      <family val="2"/>
    </font>
    <font>
      <b/>
      <sz val="11"/>
      <name val="Arial"/>
      <family val="2"/>
    </font>
    <font>
      <u/>
      <sz val="10"/>
      <name val="Arial"/>
      <family val="2"/>
    </font>
    <font>
      <sz val="10"/>
      <name val="MS Sans Serif"/>
      <family val="2"/>
    </font>
    <font>
      <sz val="10"/>
      <name val="System"/>
      <family val="2"/>
    </font>
    <font>
      <b/>
      <u/>
      <sz val="10"/>
      <name val="Arial"/>
      <family val="2"/>
    </font>
    <font>
      <sz val="9"/>
      <name val="Arial"/>
      <family val="2"/>
    </font>
    <font>
      <b/>
      <sz val="9"/>
      <color indexed="81"/>
      <name val="Tahoma"/>
      <family val="2"/>
    </font>
    <font>
      <sz val="9"/>
      <color indexed="81"/>
      <name val="Tahoma"/>
      <family val="2"/>
    </font>
    <font>
      <u/>
      <sz val="10"/>
      <color theme="10"/>
      <name val="Arial"/>
      <family val="2"/>
    </font>
    <font>
      <sz val="11"/>
      <name val="Arial"/>
      <family val="2"/>
    </font>
    <font>
      <u/>
      <sz val="10"/>
      <color indexed="12"/>
      <name val="Arial"/>
      <family val="2"/>
    </font>
    <font>
      <sz val="10"/>
      <color indexed="8"/>
      <name val="Arial"/>
      <family val="2"/>
    </font>
    <font>
      <sz val="10"/>
      <color theme="1"/>
      <name val="Arial"/>
      <family val="2"/>
    </font>
    <font>
      <sz val="12"/>
      <name val="AGaramond"/>
      <family val="3"/>
    </font>
    <font>
      <b/>
      <sz val="12"/>
      <name val="Tahoma"/>
      <family val="2"/>
    </font>
    <font>
      <b/>
      <u/>
      <sz val="12"/>
      <name val="Tahoma"/>
      <family val="2"/>
    </font>
    <font>
      <sz val="10"/>
      <name val="Arial"/>
      <family val="2"/>
    </font>
    <font>
      <b/>
      <sz val="10"/>
      <color theme="1"/>
      <name val="Arial"/>
      <family val="2"/>
    </font>
    <font>
      <b/>
      <sz val="10"/>
      <color rgb="FF1F497D"/>
      <name val="Georgia"/>
      <family val="1"/>
    </font>
    <font>
      <i/>
      <sz val="10"/>
      <color rgb="FF1F497D"/>
      <name val="Georgia"/>
      <family val="1"/>
    </font>
    <font>
      <sz val="10"/>
      <color rgb="FF1F497D"/>
      <name val="Georgia"/>
      <family val="1"/>
    </font>
    <font>
      <b/>
      <sz val="11"/>
      <color theme="1"/>
      <name val="Calibri"/>
      <family val="2"/>
    </font>
    <font>
      <b/>
      <sz val="12"/>
      <color theme="1"/>
      <name val="Arial"/>
      <family val="2"/>
    </font>
    <font>
      <b/>
      <sz val="11"/>
      <color theme="1"/>
      <name val="Calibri"/>
      <family val="2"/>
      <scheme val="minor"/>
    </font>
  </fonts>
  <fills count="4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CCFFC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s>
  <borders count="145">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style="thick">
        <color rgb="FFFF0000"/>
      </top>
      <bottom/>
      <diagonal/>
    </border>
    <border>
      <left style="thin">
        <color indexed="64"/>
      </left>
      <right style="thin">
        <color indexed="64"/>
      </right>
      <top style="thick">
        <color rgb="FF00B05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right style="thin">
        <color indexed="64"/>
      </right>
      <top/>
      <bottom/>
      <diagonal/>
    </border>
    <border>
      <left style="thin">
        <color indexed="64"/>
      </left>
      <right style="thick">
        <color indexed="64"/>
      </right>
      <top/>
      <bottom/>
      <diagonal/>
    </border>
    <border>
      <left style="thick">
        <color rgb="FFFF0000"/>
      </left>
      <right/>
      <top/>
      <bottom/>
      <diagonal/>
    </border>
    <border>
      <left style="thin">
        <color indexed="64"/>
      </left>
      <right style="thin">
        <color indexed="64"/>
      </right>
      <top/>
      <bottom/>
      <diagonal/>
    </border>
    <border>
      <left style="thin">
        <color indexed="64"/>
      </left>
      <right style="thick">
        <color rgb="FFFF0000"/>
      </right>
      <top/>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n">
        <color indexed="64"/>
      </left>
      <right style="thick">
        <color rgb="FFFF0000"/>
      </right>
      <top/>
      <bottom style="thick">
        <color rgb="FFFF0000"/>
      </bottom>
      <diagonal/>
    </border>
    <border>
      <left/>
      <right style="thick">
        <color rgb="FFFF0000"/>
      </right>
      <top/>
      <bottom/>
      <diagonal/>
    </border>
    <border>
      <left/>
      <right/>
      <top/>
      <bottom style="thick">
        <color rgb="FFFF0000"/>
      </bottom>
      <diagonal/>
    </border>
    <border>
      <left/>
      <right style="thick">
        <color rgb="FFFF0000"/>
      </right>
      <top/>
      <bottom style="thick">
        <color rgb="FFFF0000"/>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top style="thin">
        <color indexed="64"/>
      </top>
      <bottom style="thick">
        <color rgb="FF0070C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style="thin">
        <color indexed="64"/>
      </left>
      <right style="thick">
        <color theme="3" tint="0.39991454817346722"/>
      </right>
      <top style="thin">
        <color indexed="64"/>
      </top>
      <bottom style="thin">
        <color indexed="64"/>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style="thick">
        <color rgb="FF00B050"/>
      </top>
      <bottom/>
      <diagonal/>
    </border>
    <border>
      <left style="thick">
        <color rgb="FF00B050"/>
      </left>
      <right style="thick">
        <color rgb="FF00B050"/>
      </right>
      <top/>
      <bottom/>
      <diagonal/>
    </border>
    <border>
      <left style="thick">
        <color rgb="FF00B050"/>
      </left>
      <right style="thick">
        <color rgb="FF00B050"/>
      </right>
      <top/>
      <bottom style="thick">
        <color rgb="FF00B050"/>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70C0"/>
      </right>
      <top/>
      <bottom style="thick">
        <color rgb="FF0070C0"/>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top style="medium">
        <color indexed="64"/>
      </top>
      <bottom style="medium">
        <color indexed="64"/>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double">
        <color indexed="12"/>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rgb="FF0000FF"/>
      </top>
      <bottom style="double">
        <color rgb="FF0000FF"/>
      </bottom>
      <diagonal/>
    </border>
    <border>
      <left/>
      <right style="medium">
        <color indexed="64"/>
      </right>
      <top style="double">
        <color rgb="FF0000FF"/>
      </top>
      <bottom style="double">
        <color rgb="FF0000FF"/>
      </bottom>
      <diagonal/>
    </border>
    <border>
      <left/>
      <right/>
      <top style="double">
        <color indexed="12"/>
      </top>
      <bottom style="thin">
        <color indexed="64"/>
      </bottom>
      <diagonal/>
    </border>
    <border>
      <left style="double">
        <color indexed="12"/>
      </left>
      <right/>
      <top style="double">
        <color indexed="12"/>
      </top>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3">
    <xf numFmtId="0" fontId="0" fillId="0" borderId="0"/>
    <xf numFmtId="43" fontId="6" fillId="0" borderId="0" applyFont="0" applyFill="0" applyBorder="0" applyAlignment="0" applyProtection="0"/>
    <xf numFmtId="3" fontId="15"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5" fillId="0" borderId="1" applyNumberFormat="0" applyFont="0" applyFill="0" applyAlignment="0" applyProtection="0"/>
    <xf numFmtId="3" fontId="25" fillId="0" borderId="0" applyFont="0" applyFill="0" applyBorder="0" applyAlignment="0" applyProtection="0"/>
    <xf numFmtId="166" fontId="25" fillId="0" borderId="0" applyFont="0" applyFill="0" applyBorder="0" applyAlignment="0" applyProtection="0"/>
    <xf numFmtId="0" fontId="25" fillId="0" borderId="0" applyFont="0" applyFill="0" applyBorder="0" applyAlignment="0" applyProtection="0"/>
    <xf numFmtId="2" fontId="25"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5" fillId="0" borderId="1" applyNumberFormat="0" applyFont="0" applyFill="0" applyAlignment="0" applyProtection="0"/>
    <xf numFmtId="0" fontId="6" fillId="0" borderId="0"/>
    <xf numFmtId="3" fontId="15"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5" fillId="0" borderId="1" applyNumberFormat="0" applyFont="0" applyFill="0" applyAlignment="0" applyProtection="0"/>
    <xf numFmtId="9" fontId="6" fillId="0" borderId="0" applyFont="0" applyFill="0" applyBorder="0" applyAlignment="0" applyProtection="0"/>
    <xf numFmtId="44" fontId="29" fillId="0" borderId="0" applyFont="0" applyFill="0" applyBorder="0" applyAlignment="0" applyProtection="0"/>
    <xf numFmtId="0" fontId="6" fillId="0" borderId="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6" borderId="0" applyNumberFormat="0" applyBorder="0" applyAlignment="0" applyProtection="0"/>
    <xf numFmtId="0" fontId="33" fillId="10" borderId="0" applyNumberFormat="0" applyBorder="0" applyAlignment="0" applyProtection="0"/>
    <xf numFmtId="0" fontId="34" fillId="27" borderId="27" applyNumberFormat="0" applyAlignment="0" applyProtection="0"/>
    <xf numFmtId="0" fontId="35" fillId="28" borderId="28" applyNumberFormat="0" applyAlignment="0" applyProtection="0"/>
    <xf numFmtId="0" fontId="36" fillId="0" borderId="0" applyNumberFormat="0" applyFill="0" applyBorder="0" applyAlignment="0" applyProtection="0"/>
    <xf numFmtId="0" fontId="37" fillId="11" borderId="0" applyNumberFormat="0" applyBorder="0" applyAlignment="0" applyProtection="0"/>
    <xf numFmtId="0" fontId="38" fillId="0" borderId="29" applyNumberFormat="0" applyFill="0" applyAlignment="0" applyProtection="0"/>
    <xf numFmtId="0" fontId="38" fillId="0" borderId="0" applyNumberFormat="0" applyFill="0" applyBorder="0" applyAlignment="0" applyProtection="0"/>
    <xf numFmtId="0" fontId="39" fillId="14" borderId="27" applyNumberFormat="0" applyAlignment="0" applyProtection="0"/>
    <xf numFmtId="0" fontId="40" fillId="0" borderId="30" applyNumberFormat="0" applyFill="0" applyAlignment="0" applyProtection="0"/>
    <xf numFmtId="0" fontId="41"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31" applyNumberFormat="0" applyFont="0" applyAlignment="0" applyProtection="0"/>
    <xf numFmtId="0" fontId="42" fillId="27" borderId="32"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6" fillId="0" borderId="0"/>
    <xf numFmtId="43" fontId="6" fillId="0" borderId="0" applyFont="0" applyFill="0" applyAlignment="0" applyProtection="0"/>
    <xf numFmtId="0" fontId="58" fillId="0" borderId="0"/>
    <xf numFmtId="0" fontId="59" fillId="0" borderId="0"/>
    <xf numFmtId="0" fontId="6" fillId="0" borderId="0"/>
    <xf numFmtId="0" fontId="58" fillId="0" borderId="0"/>
    <xf numFmtId="0" fontId="59" fillId="0" borderId="0"/>
    <xf numFmtId="43" fontId="6" fillId="0" borderId="0" applyFont="0" applyFill="0" applyBorder="0" applyAlignment="0" applyProtection="0"/>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 fillId="0" borderId="0"/>
    <xf numFmtId="0" fontId="5" fillId="0" borderId="0"/>
    <xf numFmtId="0" fontId="58" fillId="0" borderId="0"/>
    <xf numFmtId="43" fontId="69" fillId="0" borderId="0" applyFont="0" applyFill="0" applyBorder="0" applyAlignment="0" applyProtection="0"/>
    <xf numFmtId="0" fontId="6" fillId="0" borderId="0"/>
    <xf numFmtId="0" fontId="72"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357">
    <xf numFmtId="0" fontId="0" fillId="0" borderId="0" xfId="0"/>
    <xf numFmtId="164" fontId="7" fillId="0" borderId="0" xfId="1" applyNumberFormat="1" applyFont="1" applyFill="1"/>
    <xf numFmtId="0" fontId="7" fillId="0" borderId="0" xfId="0" applyFont="1" applyFill="1"/>
    <xf numFmtId="0" fontId="7" fillId="0" borderId="0" xfId="0" applyFont="1" applyFill="1" applyBorder="1"/>
    <xf numFmtId="0" fontId="7" fillId="0" borderId="0" xfId="0" applyFont="1" applyFill="1" applyAlignment="1">
      <alignment horizontal="center"/>
    </xf>
    <xf numFmtId="164" fontId="7" fillId="0" borderId="0" xfId="1" applyNumberFormat="1" applyFont="1" applyFill="1" applyAlignment="1">
      <alignment horizontal="center"/>
    </xf>
    <xf numFmtId="0" fontId="8" fillId="0" borderId="0" xfId="0" applyFont="1" applyFill="1"/>
    <xf numFmtId="37" fontId="7" fillId="0" borderId="0" xfId="0" applyNumberFormat="1" applyFont="1" applyFill="1"/>
    <xf numFmtId="164" fontId="7" fillId="0" borderId="0" xfId="1" applyNumberFormat="1" applyFont="1" applyFill="1" applyProtection="1">
      <protection locked="0"/>
    </xf>
    <xf numFmtId="0" fontId="7" fillId="0" borderId="2" xfId="0" applyFont="1" applyFill="1" applyBorder="1"/>
    <xf numFmtId="0" fontId="7" fillId="0" borderId="3" xfId="0" applyFont="1" applyFill="1" applyBorder="1"/>
    <xf numFmtId="0" fontId="8" fillId="0" borderId="3" xfId="0" applyFont="1" applyFill="1" applyBorder="1"/>
    <xf numFmtId="0" fontId="0" fillId="0" borderId="0" xfId="0" applyBorder="1"/>
    <xf numFmtId="0" fontId="12" fillId="0" borderId="0" xfId="0" applyFont="1" applyBorder="1"/>
    <xf numFmtId="37" fontId="8" fillId="0" borderId="2" xfId="0" applyNumberFormat="1" applyFont="1" applyFill="1" applyBorder="1"/>
    <xf numFmtId="0" fontId="8" fillId="2" borderId="0" xfId="0" applyFont="1" applyFill="1"/>
    <xf numFmtId="0" fontId="7" fillId="0" borderId="0" xfId="0" applyFont="1" applyFill="1" applyAlignment="1"/>
    <xf numFmtId="0" fontId="7" fillId="0" borderId="0" xfId="0" quotePrefix="1" applyFont="1" applyFill="1" applyAlignment="1">
      <alignment horizontal="left"/>
    </xf>
    <xf numFmtId="0" fontId="8" fillId="0" borderId="0" xfId="0" applyFont="1" applyBorder="1"/>
    <xf numFmtId="0" fontId="0" fillId="0" borderId="0" xfId="0" applyFill="1" applyBorder="1"/>
    <xf numFmtId="37" fontId="7" fillId="4" borderId="0" xfId="0" applyNumberFormat="1" applyFont="1" applyFill="1"/>
    <xf numFmtId="37" fontId="8" fillId="2" borderId="5" xfId="0" applyNumberFormat="1" applyFont="1" applyFill="1" applyBorder="1"/>
    <xf numFmtId="0" fontId="18" fillId="0" borderId="0" xfId="0" applyFont="1" applyFill="1" applyAlignment="1">
      <alignment horizontal="left"/>
    </xf>
    <xf numFmtId="0" fontId="10" fillId="0" borderId="0" xfId="0" applyFont="1" applyFill="1" applyAlignment="1">
      <alignment horizontal="left"/>
    </xf>
    <xf numFmtId="0" fontId="0" fillId="0" borderId="0" xfId="0" applyAlignment="1">
      <alignment wrapText="1"/>
    </xf>
    <xf numFmtId="0" fontId="0" fillId="0" borderId="0" xfId="0" applyAlignment="1"/>
    <xf numFmtId="0" fontId="19" fillId="0" borderId="0" xfId="0" applyFont="1" applyBorder="1"/>
    <xf numFmtId="165" fontId="19" fillId="0" borderId="0" xfId="0" applyNumberFormat="1" applyFont="1" applyBorder="1"/>
    <xf numFmtId="0" fontId="14" fillId="0" borderId="0" xfId="0" applyFont="1" applyBorder="1"/>
    <xf numFmtId="165" fontId="19" fillId="5" borderId="0" xfId="0" applyNumberFormat="1" applyFont="1" applyFill="1" applyBorder="1"/>
    <xf numFmtId="0" fontId="14" fillId="0" borderId="0" xfId="0" quotePrefix="1" applyFont="1" applyBorder="1" applyAlignment="1">
      <alignment horizontal="left"/>
    </xf>
    <xf numFmtId="0" fontId="14" fillId="0" borderId="6" xfId="0" applyFont="1" applyFill="1" applyBorder="1"/>
    <xf numFmtId="165" fontId="19" fillId="0" borderId="7" xfId="0" applyNumberFormat="1" applyFont="1" applyBorder="1"/>
    <xf numFmtId="0" fontId="14" fillId="0" borderId="0" xfId="0" applyFont="1" applyBorder="1" applyAlignment="1">
      <alignment horizontal="center"/>
    </xf>
    <xf numFmtId="0" fontId="19" fillId="0" borderId="0" xfId="0" applyFont="1"/>
    <xf numFmtId="0" fontId="14" fillId="0" borderId="0" xfId="0" applyFont="1" applyFill="1" applyBorder="1"/>
    <xf numFmtId="37" fontId="14" fillId="0" borderId="0" xfId="0" applyNumberFormat="1" applyFont="1" applyFill="1" applyBorder="1"/>
    <xf numFmtId="37" fontId="14" fillId="2" borderId="0" xfId="0" applyNumberFormat="1" applyFont="1" applyFill="1" applyBorder="1"/>
    <xf numFmtId="37" fontId="14" fillId="0" borderId="6" xfId="0" applyNumberFormat="1" applyFont="1" applyFill="1" applyBorder="1"/>
    <xf numFmtId="0" fontId="20" fillId="0" borderId="0" xfId="0" applyFont="1"/>
    <xf numFmtId="164" fontId="22" fillId="0" borderId="0" xfId="1" applyNumberFormat="1" applyFont="1" applyFill="1" applyAlignment="1">
      <alignment horizontal="center"/>
    </xf>
    <xf numFmtId="164" fontId="14" fillId="0" borderId="3" xfId="1" applyNumberFormat="1" applyFont="1" applyFill="1" applyBorder="1" applyAlignment="1">
      <alignment horizontal="center"/>
    </xf>
    <xf numFmtId="0" fontId="8" fillId="0" borderId="3" xfId="0" applyFont="1" applyFill="1" applyBorder="1" applyAlignment="1">
      <alignment horizontal="center"/>
    </xf>
    <xf numFmtId="4" fontId="0" fillId="0" borderId="0" xfId="0" applyNumberFormat="1" applyAlignment="1">
      <alignment horizontal="center"/>
    </xf>
    <xf numFmtId="42" fontId="7" fillId="0" borderId="0" xfId="0" applyNumberFormat="1" applyFont="1" applyFill="1"/>
    <xf numFmtId="41" fontId="7" fillId="0" borderId="0" xfId="0" applyNumberFormat="1" applyFont="1" applyFill="1"/>
    <xf numFmtId="42" fontId="7" fillId="0" borderId="2" xfId="1" applyNumberFormat="1" applyFont="1" applyFill="1" applyBorder="1"/>
    <xf numFmtId="42" fontId="8" fillId="0" borderId="3" xfId="1" applyNumberFormat="1" applyFont="1" applyFill="1" applyBorder="1" applyAlignment="1">
      <alignment horizontal="right"/>
    </xf>
    <xf numFmtId="42" fontId="8" fillId="0" borderId="2" xfId="1" applyNumberFormat="1" applyFont="1" applyFill="1" applyBorder="1"/>
    <xf numFmtId="42" fontId="8" fillId="2" borderId="5" xfId="1" applyNumberFormat="1" applyFont="1" applyFill="1" applyBorder="1"/>
    <xf numFmtId="0" fontId="6" fillId="0" borderId="0" xfId="0" applyFont="1"/>
    <xf numFmtId="0" fontId="6" fillId="0" borderId="0" xfId="0" applyFont="1" applyFill="1"/>
    <xf numFmtId="0" fontId="18" fillId="0" borderId="0" xfId="16" applyFont="1" applyFill="1" applyAlignment="1">
      <alignment horizontal="left"/>
    </xf>
    <xf numFmtId="0" fontId="6" fillId="0" borderId="0" xfId="16"/>
    <xf numFmtId="0" fontId="6" fillId="0" borderId="0" xfId="16" applyFont="1"/>
    <xf numFmtId="0" fontId="19" fillId="0" borderId="0" xfId="16" applyFont="1"/>
    <xf numFmtId="0" fontId="6" fillId="0" borderId="0" xfId="16" applyAlignment="1"/>
    <xf numFmtId="0" fontId="6" fillId="0" borderId="0" xfId="16" applyBorder="1"/>
    <xf numFmtId="0" fontId="19" fillId="0" borderId="0" xfId="16" applyFont="1" applyBorder="1"/>
    <xf numFmtId="165" fontId="19" fillId="0" borderId="0" xfId="16" applyNumberFormat="1" applyFont="1" applyBorder="1"/>
    <xf numFmtId="0" fontId="14" fillId="0" borderId="0" xfId="16" applyFont="1" applyBorder="1"/>
    <xf numFmtId="165" fontId="19" fillId="5" borderId="0" xfId="16" applyNumberFormat="1" applyFont="1" applyFill="1" applyBorder="1"/>
    <xf numFmtId="0" fontId="14" fillId="0" borderId="0" xfId="16" quotePrefix="1" applyFont="1" applyBorder="1" applyAlignment="1">
      <alignment horizontal="left"/>
    </xf>
    <xf numFmtId="0" fontId="14" fillId="0" borderId="6" xfId="16" applyFont="1" applyFill="1" applyBorder="1"/>
    <xf numFmtId="165" fontId="19" fillId="0" borderId="7" xfId="16" applyNumberFormat="1" applyFont="1" applyBorder="1"/>
    <xf numFmtId="0" fontId="14" fillId="0" borderId="0" xfId="16" applyFont="1" applyBorder="1" applyAlignment="1">
      <alignment horizontal="center"/>
    </xf>
    <xf numFmtId="0" fontId="14" fillId="0" borderId="0" xfId="16" applyFont="1" applyFill="1" applyBorder="1"/>
    <xf numFmtId="0" fontId="12" fillId="0" borderId="0" xfId="16" applyFont="1" applyBorder="1"/>
    <xf numFmtId="37" fontId="14" fillId="0" borderId="0" xfId="16" applyNumberFormat="1" applyFont="1" applyFill="1" applyBorder="1"/>
    <xf numFmtId="37" fontId="14" fillId="2" borderId="0" xfId="16" applyNumberFormat="1" applyFont="1" applyFill="1" applyBorder="1"/>
    <xf numFmtId="37" fontId="14" fillId="0" borderId="6" xfId="16" applyNumberFormat="1" applyFont="1" applyFill="1" applyBorder="1"/>
    <xf numFmtId="0" fontId="8" fillId="0" borderId="0" xfId="16" applyFont="1" applyBorder="1"/>
    <xf numFmtId="0" fontId="6" fillId="0" borderId="0" xfId="16" applyFill="1" applyBorder="1"/>
    <xf numFmtId="164" fontId="6" fillId="0" borderId="0" xfId="1" applyNumberFormat="1" applyFont="1" applyFill="1"/>
    <xf numFmtId="0" fontId="6" fillId="0" borderId="0" xfId="16" applyFont="1" applyFill="1"/>
    <xf numFmtId="0" fontId="10" fillId="0" borderId="0" xfId="16" applyFont="1" applyFill="1" applyAlignment="1">
      <alignment horizontal="left"/>
    </xf>
    <xf numFmtId="0" fontId="6" fillId="0" borderId="0" xfId="16" applyFont="1" applyFill="1" applyAlignment="1">
      <alignment horizontal="center"/>
    </xf>
    <xf numFmtId="0" fontId="8" fillId="0" borderId="3" xfId="16" applyFont="1" applyFill="1" applyBorder="1" applyAlignment="1">
      <alignment horizontal="center"/>
    </xf>
    <xf numFmtId="0" fontId="8" fillId="0" borderId="0" xfId="16" applyFont="1" applyFill="1"/>
    <xf numFmtId="164" fontId="6" fillId="0" borderId="0" xfId="1" applyNumberFormat="1" applyFont="1" applyFill="1" applyAlignment="1">
      <alignment horizontal="center"/>
    </xf>
    <xf numFmtId="4" fontId="6" fillId="0" borderId="0" xfId="16" applyNumberFormat="1" applyAlignment="1">
      <alignment horizontal="center"/>
    </xf>
    <xf numFmtId="0" fontId="8" fillId="2" borderId="0" xfId="16" applyFont="1" applyFill="1"/>
    <xf numFmtId="164" fontId="6" fillId="0" borderId="0" xfId="1" applyNumberFormat="1" applyFont="1" applyFill="1" applyProtection="1">
      <protection locked="0"/>
    </xf>
    <xf numFmtId="42" fontId="6" fillId="0" borderId="0" xfId="16" applyNumberFormat="1" applyFont="1" applyFill="1"/>
    <xf numFmtId="164" fontId="6" fillId="0" borderId="8" xfId="1" applyNumberFormat="1" applyFont="1" applyFill="1" applyBorder="1"/>
    <xf numFmtId="0" fontId="6" fillId="0" borderId="0" xfId="16" applyFont="1" applyFill="1" applyAlignment="1"/>
    <xf numFmtId="41" fontId="6" fillId="0" borderId="0" xfId="16" applyNumberFormat="1" applyFont="1" applyFill="1"/>
    <xf numFmtId="0" fontId="6" fillId="0" borderId="2" xfId="16" applyFont="1" applyFill="1" applyBorder="1"/>
    <xf numFmtId="42" fontId="6" fillId="0" borderId="2" xfId="1" applyNumberFormat="1" applyFont="1" applyFill="1" applyBorder="1"/>
    <xf numFmtId="0" fontId="6" fillId="0" borderId="0" xfId="16" applyAlignment="1">
      <alignment wrapText="1"/>
    </xf>
    <xf numFmtId="0" fontId="6" fillId="0" borderId="0" xfId="16" applyFont="1" applyFill="1" applyBorder="1" applyAlignment="1"/>
    <xf numFmtId="164" fontId="6" fillId="0" borderId="0" xfId="1" applyNumberFormat="1" applyFont="1" applyFill="1" applyAlignment="1">
      <alignment horizontal="right"/>
    </xf>
    <xf numFmtId="0" fontId="6" fillId="0" borderId="0" xfId="16" applyFont="1" applyFill="1" applyBorder="1"/>
    <xf numFmtId="0" fontId="6" fillId="0" borderId="3" xfId="16" applyFont="1" applyFill="1" applyBorder="1"/>
    <xf numFmtId="0" fontId="8" fillId="0" borderId="3" xfId="16" applyFont="1" applyFill="1" applyBorder="1"/>
    <xf numFmtId="37" fontId="6" fillId="0" borderId="0" xfId="16" applyNumberFormat="1" applyFont="1" applyFill="1"/>
    <xf numFmtId="37" fontId="6" fillId="4" borderId="0" xfId="16" applyNumberFormat="1" applyFont="1" applyFill="1"/>
    <xf numFmtId="37" fontId="8" fillId="0" borderId="2" xfId="16" applyNumberFormat="1" applyFont="1" applyFill="1" applyBorder="1"/>
    <xf numFmtId="0" fontId="6" fillId="0" borderId="0" xfId="16" quotePrefix="1" applyFont="1" applyFill="1" applyAlignment="1">
      <alignment horizontal="left"/>
    </xf>
    <xf numFmtId="164" fontId="6" fillId="0" borderId="2" xfId="1" applyNumberFormat="1" applyFont="1" applyFill="1" applyBorder="1" applyProtection="1">
      <protection locked="0"/>
    </xf>
    <xf numFmtId="37" fontId="8" fillId="2" borderId="5" xfId="16" applyNumberFormat="1" applyFont="1" applyFill="1" applyBorder="1"/>
    <xf numFmtId="0" fontId="6" fillId="4" borderId="0" xfId="16" applyFill="1" applyAlignment="1">
      <alignment horizontal="center"/>
    </xf>
    <xf numFmtId="0" fontId="6" fillId="4" borderId="0" xfId="16" applyFill="1"/>
    <xf numFmtId="0" fontId="8" fillId="4" borderId="0" xfId="16" applyFont="1" applyFill="1" applyAlignment="1">
      <alignment horizontal="center"/>
    </xf>
    <xf numFmtId="0" fontId="8" fillId="4" borderId="0" xfId="16" applyFont="1" applyFill="1"/>
    <xf numFmtId="167" fontId="6" fillId="4" borderId="0" xfId="24" applyNumberFormat="1" applyFill="1"/>
    <xf numFmtId="0" fontId="8" fillId="4" borderId="3" xfId="16" applyFont="1" applyFill="1" applyBorder="1" applyAlignment="1">
      <alignment horizontal="center" wrapText="1"/>
    </xf>
    <xf numFmtId="0" fontId="24" fillId="2" borderId="3" xfId="16" applyFont="1" applyFill="1" applyBorder="1" applyAlignment="1">
      <alignment horizontal="center" wrapText="1"/>
    </xf>
    <xf numFmtId="0" fontId="24" fillId="4" borderId="3" xfId="16" applyFont="1" applyFill="1" applyBorder="1" applyAlignment="1">
      <alignment horizontal="center" wrapText="1"/>
    </xf>
    <xf numFmtId="167" fontId="8" fillId="4" borderId="3" xfId="24" applyNumberFormat="1" applyFont="1" applyFill="1" applyBorder="1" applyAlignment="1">
      <alignment horizontal="center" wrapText="1"/>
    </xf>
    <xf numFmtId="0" fontId="6" fillId="4" borderId="0" xfId="16" applyFill="1" applyAlignment="1">
      <alignment horizontal="center" wrapText="1"/>
    </xf>
    <xf numFmtId="49" fontId="6" fillId="4" borderId="0" xfId="16" applyNumberFormat="1" applyFont="1" applyFill="1" applyAlignment="1">
      <alignment horizontal="center"/>
    </xf>
    <xf numFmtId="49" fontId="6" fillId="4" borderId="0" xfId="16" applyNumberFormat="1" applyFill="1" applyAlignment="1">
      <alignment horizontal="center"/>
    </xf>
    <xf numFmtId="38" fontId="6" fillId="4" borderId="0" xfId="16" applyNumberFormat="1" applyFont="1" applyFill="1"/>
    <xf numFmtId="42" fontId="6" fillId="2" borderId="0" xfId="1" applyNumberFormat="1" applyFill="1"/>
    <xf numFmtId="42" fontId="6" fillId="4" borderId="0" xfId="1" applyNumberFormat="1" applyFill="1"/>
    <xf numFmtId="42" fontId="6" fillId="4" borderId="0" xfId="16" applyNumberFormat="1" applyFill="1"/>
    <xf numFmtId="168" fontId="6" fillId="4" borderId="0" xfId="24" applyNumberFormat="1" applyFill="1"/>
    <xf numFmtId="41" fontId="6" fillId="2" borderId="0" xfId="1" applyNumberFormat="1" applyFill="1"/>
    <xf numFmtId="41" fontId="6" fillId="4" borderId="0" xfId="1" applyNumberFormat="1" applyFill="1"/>
    <xf numFmtId="41" fontId="6" fillId="4" borderId="0" xfId="16" applyNumberFormat="1" applyFill="1"/>
    <xf numFmtId="49" fontId="6" fillId="4" borderId="3" xfId="16" applyNumberFormat="1" applyFont="1" applyFill="1" applyBorder="1" applyAlignment="1">
      <alignment horizontal="center"/>
    </xf>
    <xf numFmtId="38" fontId="6" fillId="4" borderId="3" xfId="16" applyNumberFormat="1" applyFont="1" applyFill="1" applyBorder="1"/>
    <xf numFmtId="41" fontId="6" fillId="2" borderId="3" xfId="1" applyNumberFormat="1" applyFill="1" applyBorder="1"/>
    <xf numFmtId="41" fontId="6" fillId="4" borderId="3" xfId="1" applyNumberFormat="1" applyFill="1" applyBorder="1"/>
    <xf numFmtId="41" fontId="6" fillId="4" borderId="3" xfId="16" applyNumberFormat="1" applyFill="1" applyBorder="1"/>
    <xf numFmtId="168" fontId="6" fillId="4" borderId="3" xfId="24" applyNumberFormat="1" applyFill="1" applyBorder="1"/>
    <xf numFmtId="0" fontId="6" fillId="4" borderId="5" xfId="16" applyFill="1" applyBorder="1" applyAlignment="1">
      <alignment horizontal="center"/>
    </xf>
    <xf numFmtId="0" fontId="8" fillId="4" borderId="5" xfId="16" applyFont="1" applyFill="1" applyBorder="1"/>
    <xf numFmtId="42" fontId="8" fillId="4" borderId="5" xfId="1" applyNumberFormat="1" applyFont="1" applyFill="1" applyBorder="1"/>
    <xf numFmtId="42" fontId="8" fillId="4" borderId="5" xfId="16" applyNumberFormat="1" applyFont="1" applyFill="1" applyBorder="1"/>
    <xf numFmtId="168" fontId="8" fillId="4" borderId="5" xfId="24" applyNumberFormat="1" applyFont="1" applyFill="1" applyBorder="1"/>
    <xf numFmtId="0" fontId="6" fillId="4" borderId="0" xfId="16" applyFont="1" applyFill="1"/>
    <xf numFmtId="0" fontId="6" fillId="0" borderId="13" xfId="16" applyFont="1" applyFill="1" applyBorder="1" applyAlignment="1">
      <alignment wrapText="1"/>
    </xf>
    <xf numFmtId="0" fontId="6" fillId="4" borderId="13" xfId="16" applyFill="1" applyBorder="1" applyAlignment="1">
      <alignment wrapText="1"/>
    </xf>
    <xf numFmtId="0" fontId="6" fillId="4" borderId="0" xfId="16" applyFill="1" applyAlignment="1">
      <alignment wrapText="1"/>
    </xf>
    <xf numFmtId="0" fontId="6" fillId="4" borderId="0" xfId="16" applyFill="1" applyAlignment="1">
      <alignment horizontal="left"/>
    </xf>
    <xf numFmtId="0" fontId="8" fillId="0" borderId="0" xfId="16" applyFont="1" applyFill="1" applyBorder="1" applyAlignment="1">
      <alignment horizontal="center"/>
    </xf>
    <xf numFmtId="0" fontId="22" fillId="0" borderId="0" xfId="16" applyFont="1" applyFill="1" applyBorder="1" applyAlignment="1">
      <alignment horizontal="center"/>
    </xf>
    <xf numFmtId="42" fontId="8" fillId="0" borderId="3" xfId="1" applyNumberFormat="1" applyFont="1" applyFill="1" applyBorder="1" applyAlignment="1"/>
    <xf numFmtId="42" fontId="6" fillId="0" borderId="2" xfId="16" applyNumberFormat="1" applyFont="1" applyFill="1" applyBorder="1"/>
    <xf numFmtId="0" fontId="10" fillId="7" borderId="0" xfId="16" applyFont="1" applyFill="1" applyAlignment="1">
      <alignment horizontal="left"/>
    </xf>
    <xf numFmtId="0" fontId="10" fillId="7" borderId="0" xfId="0" applyFont="1" applyFill="1" applyAlignment="1">
      <alignment horizontal="left"/>
    </xf>
    <xf numFmtId="42" fontId="6" fillId="0" borderId="0" xfId="0" applyNumberFormat="1" applyFont="1" applyFill="1"/>
    <xf numFmtId="0" fontId="8" fillId="7" borderId="3" xfId="16" applyFont="1" applyFill="1" applyBorder="1" applyAlignment="1">
      <alignment horizontal="center" wrapText="1"/>
    </xf>
    <xf numFmtId="0" fontId="18" fillId="7" borderId="0" xfId="0" applyFont="1" applyFill="1" applyAlignment="1">
      <alignment horizontal="left"/>
    </xf>
    <xf numFmtId="0" fontId="18" fillId="7" borderId="0" xfId="16" applyFont="1" applyFill="1" applyAlignment="1">
      <alignment horizontal="left"/>
    </xf>
    <xf numFmtId="0" fontId="7" fillId="7" borderId="0" xfId="0" applyFont="1" applyFill="1" applyAlignment="1">
      <alignment horizontal="center"/>
    </xf>
    <xf numFmtId="0" fontId="7" fillId="7" borderId="0" xfId="0" applyFont="1" applyFill="1" applyAlignment="1">
      <alignment horizontal="left"/>
    </xf>
    <xf numFmtId="0" fontId="7" fillId="7" borderId="0" xfId="0" applyFont="1" applyFill="1"/>
    <xf numFmtId="164" fontId="7" fillId="7" borderId="0" xfId="1" applyNumberFormat="1" applyFont="1" applyFill="1"/>
    <xf numFmtId="0" fontId="8" fillId="7" borderId="0" xfId="0" applyFont="1" applyFill="1"/>
    <xf numFmtId="164" fontId="8" fillId="7" borderId="3" xfId="1" applyNumberFormat="1" applyFont="1" applyFill="1" applyBorder="1" applyAlignment="1">
      <alignment horizontal="center"/>
    </xf>
    <xf numFmtId="0" fontId="8" fillId="7" borderId="3" xfId="0" applyFont="1" applyFill="1" applyBorder="1"/>
    <xf numFmtId="0" fontId="8" fillId="7" borderId="3" xfId="0" applyFont="1" applyFill="1" applyBorder="1" applyAlignment="1">
      <alignment horizontal="center" wrapText="1"/>
    </xf>
    <xf numFmtId="41" fontId="8" fillId="7" borderId="0" xfId="0" applyNumberFormat="1" applyFont="1" applyFill="1" applyAlignment="1">
      <alignment horizontal="center" wrapText="1"/>
    </xf>
    <xf numFmtId="38" fontId="7" fillId="7" borderId="0" xfId="0" applyNumberFormat="1" applyFont="1" applyFill="1"/>
    <xf numFmtId="0" fontId="6" fillId="7" borderId="0" xfId="0" applyFont="1" applyFill="1"/>
    <xf numFmtId="0" fontId="7" fillId="7" borderId="2" xfId="0" applyFont="1" applyFill="1" applyBorder="1"/>
    <xf numFmtId="0" fontId="7" fillId="7" borderId="0" xfId="0" applyFont="1" applyFill="1" applyBorder="1"/>
    <xf numFmtId="0" fontId="8" fillId="7" borderId="2" xfId="0" applyFont="1" applyFill="1" applyBorder="1"/>
    <xf numFmtId="37" fontId="7" fillId="7" borderId="0" xfId="0" applyNumberFormat="1" applyFont="1" applyFill="1"/>
    <xf numFmtId="37" fontId="7" fillId="7" borderId="0" xfId="0" applyNumberFormat="1" applyFont="1" applyFill="1" applyAlignment="1">
      <alignment horizontal="left"/>
    </xf>
    <xf numFmtId="0" fontId="7" fillId="7" borderId="3" xfId="0" applyFont="1" applyFill="1" applyBorder="1"/>
    <xf numFmtId="37" fontId="8" fillId="7" borderId="2" xfId="0" applyNumberFormat="1" applyFont="1" applyFill="1" applyBorder="1"/>
    <xf numFmtId="0" fontId="7" fillId="7" borderId="0" xfId="0" quotePrefix="1" applyFont="1" applyFill="1" applyAlignment="1">
      <alignment horizontal="left"/>
    </xf>
    <xf numFmtId="0" fontId="6" fillId="7" borderId="0" xfId="16" applyFont="1" applyFill="1"/>
    <xf numFmtId="0" fontId="7" fillId="7" borderId="5" xfId="0" applyFont="1" applyFill="1" applyBorder="1"/>
    <xf numFmtId="164" fontId="8" fillId="7" borderId="0" xfId="1" applyNumberFormat="1" applyFont="1" applyFill="1" applyBorder="1" applyProtection="1">
      <protection locked="0"/>
    </xf>
    <xf numFmtId="0" fontId="7" fillId="7" borderId="0" xfId="0" applyFont="1" applyFill="1" applyBorder="1" applyAlignment="1">
      <alignment horizontal="left"/>
    </xf>
    <xf numFmtId="0" fontId="7" fillId="7" borderId="13" xfId="0" applyFont="1" applyFill="1" applyBorder="1" applyAlignment="1">
      <alignment horizontal="center"/>
    </xf>
    <xf numFmtId="0" fontId="7" fillId="7" borderId="0" xfId="0" applyFont="1" applyFill="1" applyAlignment="1"/>
    <xf numFmtId="0" fontId="6" fillId="7" borderId="0" xfId="0" applyFont="1" applyFill="1" applyAlignment="1"/>
    <xf numFmtId="0" fontId="6" fillId="7" borderId="0" xfId="16" applyFont="1" applyFill="1" applyAlignment="1">
      <alignment horizontal="center"/>
    </xf>
    <xf numFmtId="0" fontId="6" fillId="7" borderId="0" xfId="16" applyFont="1" applyFill="1" applyAlignment="1">
      <alignment horizontal="left"/>
    </xf>
    <xf numFmtId="164" fontId="6" fillId="7" borderId="0" xfId="1" applyNumberFormat="1" applyFont="1" applyFill="1"/>
    <xf numFmtId="0" fontId="8" fillId="7" borderId="0" xfId="16" applyFont="1" applyFill="1"/>
    <xf numFmtId="0" fontId="8" fillId="7" borderId="3" xfId="16" applyFont="1" applyFill="1" applyBorder="1"/>
    <xf numFmtId="41" fontId="8" fillId="7" borderId="0" xfId="16" applyNumberFormat="1" applyFont="1" applyFill="1" applyAlignment="1">
      <alignment horizontal="center" wrapText="1"/>
    </xf>
    <xf numFmtId="0" fontId="6" fillId="7" borderId="2" xfId="16" applyFont="1" applyFill="1" applyBorder="1"/>
    <xf numFmtId="0" fontId="6" fillId="7" borderId="0" xfId="16" applyFont="1" applyFill="1" applyBorder="1"/>
    <xf numFmtId="41" fontId="6" fillId="7" borderId="0" xfId="16" applyNumberFormat="1" applyFont="1" applyFill="1" applyBorder="1"/>
    <xf numFmtId="0" fontId="6" fillId="7" borderId="0" xfId="16" applyFont="1" applyFill="1" applyBorder="1" applyAlignment="1">
      <alignment horizontal="left"/>
    </xf>
    <xf numFmtId="0" fontId="6" fillId="7" borderId="0" xfId="0" applyFont="1" applyFill="1" applyBorder="1"/>
    <xf numFmtId="38" fontId="6" fillId="7" borderId="0" xfId="0" applyNumberFormat="1" applyFont="1" applyFill="1" applyBorder="1"/>
    <xf numFmtId="4" fontId="6" fillId="4" borderId="0" xfId="16" applyNumberFormat="1" applyFill="1"/>
    <xf numFmtId="0" fontId="6" fillId="4" borderId="6" xfId="16" applyFill="1" applyBorder="1"/>
    <xf numFmtId="42" fontId="6" fillId="4" borderId="7" xfId="16" applyNumberFormat="1" applyFill="1" applyBorder="1"/>
    <xf numFmtId="44" fontId="6" fillId="4" borderId="0" xfId="16" applyNumberFormat="1" applyFill="1"/>
    <xf numFmtId="37" fontId="8" fillId="0" borderId="2" xfId="0" applyNumberFormat="1" applyFont="1" applyFill="1" applyBorder="1" applyAlignment="1">
      <alignment horizontal="center" wrapText="1"/>
    </xf>
    <xf numFmtId="42" fontId="6" fillId="4" borderId="5" xfId="16" applyNumberFormat="1" applyFill="1" applyBorder="1"/>
    <xf numFmtId="0" fontId="6" fillId="4" borderId="3" xfId="16" applyFill="1" applyBorder="1" applyAlignment="1">
      <alignment horizontal="center" wrapText="1"/>
    </xf>
    <xf numFmtId="37" fontId="7" fillId="0" borderId="3" xfId="0" applyNumberFormat="1" applyFont="1" applyFill="1" applyBorder="1" applyAlignment="1">
      <alignment horizontal="center" wrapText="1"/>
    </xf>
    <xf numFmtId="37" fontId="7" fillId="4" borderId="3" xfId="0" applyNumberFormat="1" applyFont="1" applyFill="1" applyBorder="1" applyAlignment="1">
      <alignment horizontal="center" wrapText="1"/>
    </xf>
    <xf numFmtId="0" fontId="7" fillId="0" borderId="3" xfId="0" applyFont="1" applyFill="1" applyBorder="1" applyAlignment="1">
      <alignment horizontal="center" wrapText="1"/>
    </xf>
    <xf numFmtId="9" fontId="6" fillId="4" borderId="0" xfId="16" applyNumberFormat="1" applyFill="1"/>
    <xf numFmtId="42" fontId="6" fillId="4" borderId="2" xfId="16" applyNumberFormat="1" applyFill="1" applyBorder="1"/>
    <xf numFmtId="0" fontId="8" fillId="4" borderId="3" xfId="16" applyFont="1" applyFill="1" applyBorder="1" applyAlignment="1">
      <alignment horizontal="center"/>
    </xf>
    <xf numFmtId="0" fontId="7" fillId="0" borderId="2" xfId="0" applyFont="1" applyFill="1" applyBorder="1" applyAlignment="1">
      <alignment horizontal="center" wrapText="1"/>
    </xf>
    <xf numFmtId="167" fontId="6" fillId="4" borderId="0" xfId="24" applyNumberFormat="1" applyFill="1" applyAlignment="1">
      <alignment horizontal="center" wrapText="1"/>
    </xf>
    <xf numFmtId="0" fontId="6" fillId="0" borderId="3" xfId="0" applyFont="1" applyFill="1" applyBorder="1" applyAlignment="1">
      <alignment horizontal="center" wrapText="1"/>
    </xf>
    <xf numFmtId="0" fontId="7" fillId="0" borderId="0" xfId="0" applyFont="1" applyFill="1" applyBorder="1" applyAlignment="1">
      <alignment horizontal="center" wrapText="1"/>
    </xf>
    <xf numFmtId="0" fontId="8" fillId="0" borderId="3" xfId="0" applyFont="1" applyFill="1" applyBorder="1" applyAlignment="1">
      <alignment horizontal="center" wrapText="1"/>
    </xf>
    <xf numFmtId="0" fontId="8" fillId="0" borderId="2" xfId="0" applyFont="1" applyFill="1" applyBorder="1" applyAlignment="1">
      <alignment horizontal="center" wrapText="1"/>
    </xf>
    <xf numFmtId="0" fontId="8" fillId="4" borderId="0" xfId="16" applyFont="1" applyFill="1" applyAlignment="1">
      <alignment horizontal="center" wrapText="1"/>
    </xf>
    <xf numFmtId="167" fontId="8" fillId="4" borderId="0" xfId="24" applyNumberFormat="1" applyFont="1" applyFill="1" applyAlignment="1">
      <alignment horizontal="center" wrapText="1"/>
    </xf>
    <xf numFmtId="38" fontId="6" fillId="4" borderId="0" xfId="16" applyNumberFormat="1" applyFont="1" applyFill="1" applyBorder="1"/>
    <xf numFmtId="0" fontId="6" fillId="4" borderId="0" xfId="16" applyFill="1" applyBorder="1" applyAlignment="1">
      <alignment horizontal="center"/>
    </xf>
    <xf numFmtId="0" fontId="8" fillId="4" borderId="0" xfId="16" applyFont="1" applyFill="1" applyBorder="1"/>
    <xf numFmtId="41" fontId="6" fillId="4" borderId="5" xfId="16" applyNumberFormat="1" applyFill="1" applyBorder="1"/>
    <xf numFmtId="44" fontId="6" fillId="4" borderId="5" xfId="16" applyNumberFormat="1" applyFill="1" applyBorder="1"/>
    <xf numFmtId="0" fontId="6" fillId="4" borderId="5" xfId="16" applyFill="1" applyBorder="1"/>
    <xf numFmtId="0" fontId="8" fillId="4" borderId="2" xfId="16" applyFont="1" applyFill="1" applyBorder="1" applyAlignment="1">
      <alignment horizontal="center" wrapText="1"/>
    </xf>
    <xf numFmtId="0" fontId="6" fillId="4" borderId="15" xfId="16" applyFill="1" applyBorder="1"/>
    <xf numFmtId="0" fontId="6" fillId="4" borderId="16" xfId="16" applyFill="1" applyBorder="1"/>
    <xf numFmtId="0" fontId="8" fillId="2" borderId="16" xfId="0" applyFont="1" applyFill="1" applyBorder="1"/>
    <xf numFmtId="0" fontId="6" fillId="8" borderId="16" xfId="16" applyFill="1" applyBorder="1"/>
    <xf numFmtId="44" fontId="6" fillId="4" borderId="16" xfId="16" applyNumberFormat="1" applyFill="1" applyBorder="1"/>
    <xf numFmtId="0" fontId="6" fillId="4" borderId="17" xfId="16" applyFill="1" applyBorder="1"/>
    <xf numFmtId="0" fontId="6" fillId="4" borderId="18" xfId="16" applyFill="1" applyBorder="1"/>
    <xf numFmtId="0" fontId="6" fillId="4" borderId="0" xfId="16" applyFill="1" applyBorder="1"/>
    <xf numFmtId="0" fontId="8" fillId="0" borderId="0" xfId="0" applyFont="1" applyFill="1" applyBorder="1"/>
    <xf numFmtId="44" fontId="6" fillId="4" borderId="0" xfId="16" applyNumberFormat="1" applyFill="1" applyBorder="1"/>
    <xf numFmtId="0" fontId="6" fillId="4" borderId="19" xfId="16" applyFill="1" applyBorder="1"/>
    <xf numFmtId="0" fontId="6" fillId="4" borderId="20" xfId="16" applyFill="1" applyBorder="1" applyAlignment="1">
      <alignment horizontal="center" wrapText="1"/>
    </xf>
    <xf numFmtId="0" fontId="6" fillId="4" borderId="21" xfId="16" applyFill="1" applyBorder="1" applyAlignment="1">
      <alignment horizontal="center" wrapText="1"/>
    </xf>
    <xf numFmtId="42" fontId="6" fillId="4" borderId="0" xfId="16" applyNumberFormat="1" applyFill="1" applyBorder="1"/>
    <xf numFmtId="41" fontId="6" fillId="4" borderId="0" xfId="16" applyNumberFormat="1" applyFill="1" applyBorder="1"/>
    <xf numFmtId="0" fontId="6" fillId="4" borderId="19" xfId="24" applyNumberFormat="1" applyFill="1" applyBorder="1"/>
    <xf numFmtId="0" fontId="6" fillId="8" borderId="0" xfId="16" applyFill="1" applyBorder="1"/>
    <xf numFmtId="0" fontId="6" fillId="4" borderId="22" xfId="16" applyFill="1" applyBorder="1"/>
    <xf numFmtId="0" fontId="6" fillId="4" borderId="23" xfId="16" applyFill="1" applyBorder="1"/>
    <xf numFmtId="44" fontId="6" fillId="4" borderId="23" xfId="16" applyNumberFormat="1" applyFill="1" applyBorder="1"/>
    <xf numFmtId="0" fontId="6" fillId="4" borderId="24" xfId="16" applyFill="1" applyBorder="1"/>
    <xf numFmtId="0" fontId="8" fillId="4" borderId="25" xfId="16" applyFont="1" applyFill="1" applyBorder="1" applyAlignment="1">
      <alignment horizontal="center" wrapText="1"/>
    </xf>
    <xf numFmtId="0" fontId="8" fillId="4" borderId="26" xfId="16" applyFont="1" applyFill="1" applyBorder="1" applyAlignment="1">
      <alignment horizontal="center" wrapText="1"/>
    </xf>
    <xf numFmtId="0" fontId="8" fillId="0" borderId="26" xfId="0" applyFont="1" applyFill="1" applyBorder="1" applyAlignment="1">
      <alignment horizontal="center" wrapText="1"/>
    </xf>
    <xf numFmtId="0" fontId="8" fillId="0" borderId="16" xfId="0" applyFont="1" applyFill="1" applyBorder="1" applyAlignment="1">
      <alignment horizontal="center" wrapText="1"/>
    </xf>
    <xf numFmtId="0" fontId="8" fillId="4" borderId="17" xfId="16" applyFont="1" applyFill="1" applyBorder="1" applyAlignment="1">
      <alignment horizontal="center" wrapText="1"/>
    </xf>
    <xf numFmtId="0" fontId="6" fillId="4" borderId="19" xfId="16" applyFill="1" applyBorder="1" applyAlignment="1">
      <alignment horizontal="center" wrapText="1"/>
    </xf>
    <xf numFmtId="0" fontId="6" fillId="4" borderId="23" xfId="16" applyFill="1" applyBorder="1" applyAlignment="1">
      <alignment horizontal="center"/>
    </xf>
    <xf numFmtId="0" fontId="8" fillId="4" borderId="23" xfId="16" applyFont="1" applyFill="1" applyBorder="1"/>
    <xf numFmtId="0" fontId="8" fillId="0" borderId="16" xfId="0" applyFont="1" applyFill="1" applyBorder="1"/>
    <xf numFmtId="0" fontId="6" fillId="4" borderId="16" xfId="16" applyFill="1" applyBorder="1" applyAlignment="1">
      <alignment horizontal="center"/>
    </xf>
    <xf numFmtId="0" fontId="8" fillId="4" borderId="16" xfId="16" applyFont="1" applyFill="1" applyBorder="1"/>
    <xf numFmtId="167" fontId="6" fillId="4" borderId="17" xfId="24" applyNumberFormat="1" applyFill="1" applyBorder="1"/>
    <xf numFmtId="0" fontId="8" fillId="2" borderId="0" xfId="0" applyFont="1" applyFill="1" applyBorder="1"/>
    <xf numFmtId="167" fontId="6" fillId="4" borderId="19" xfId="24" applyNumberFormat="1" applyFill="1" applyBorder="1"/>
    <xf numFmtId="0" fontId="8" fillId="8" borderId="0" xfId="0" applyFont="1" applyFill="1" applyBorder="1"/>
    <xf numFmtId="0" fontId="6" fillId="7" borderId="0" xfId="16" applyFill="1" applyBorder="1"/>
    <xf numFmtId="167" fontId="6" fillId="4" borderId="24" xfId="24" applyNumberFormat="1" applyFill="1" applyBorder="1"/>
    <xf numFmtId="0" fontId="6" fillId="4" borderId="2" xfId="16" applyFill="1" applyBorder="1"/>
    <xf numFmtId="42" fontId="8" fillId="4" borderId="0" xfId="16" applyNumberFormat="1" applyFont="1" applyFill="1" applyBorder="1"/>
    <xf numFmtId="0" fontId="8" fillId="4" borderId="0" xfId="16" applyFont="1" applyFill="1" applyBorder="1" applyAlignment="1">
      <alignment horizontal="center"/>
    </xf>
    <xf numFmtId="0" fontId="6" fillId="4" borderId="3" xfId="16" applyFill="1" applyBorder="1"/>
    <xf numFmtId="0" fontId="6" fillId="8" borderId="0" xfId="16" applyFill="1"/>
    <xf numFmtId="4" fontId="6" fillId="7" borderId="0" xfId="1" applyNumberFormat="1" applyFill="1"/>
    <xf numFmtId="4" fontId="6" fillId="7" borderId="3" xfId="1" applyNumberFormat="1" applyFill="1" applyBorder="1"/>
    <xf numFmtId="4" fontId="8" fillId="4" borderId="5" xfId="16" applyNumberFormat="1" applyFont="1" applyFill="1" applyBorder="1"/>
    <xf numFmtId="38" fontId="30" fillId="4" borderId="0" xfId="1" applyNumberFormat="1" applyFont="1" applyFill="1" applyAlignment="1" applyProtection="1"/>
    <xf numFmtId="0" fontId="24" fillId="7" borderId="3" xfId="16" applyFont="1" applyFill="1" applyBorder="1" applyAlignment="1">
      <alignment horizontal="center" wrapText="1"/>
    </xf>
    <xf numFmtId="42" fontId="6" fillId="7" borderId="0" xfId="1" applyNumberFormat="1" applyFill="1"/>
    <xf numFmtId="41" fontId="6" fillId="7" borderId="0" xfId="1" applyNumberFormat="1" applyFill="1"/>
    <xf numFmtId="41" fontId="6" fillId="7" borderId="3" xfId="1" applyNumberFormat="1" applyFill="1" applyBorder="1"/>
    <xf numFmtId="42" fontId="8" fillId="7" borderId="5" xfId="1" applyNumberFormat="1" applyFont="1" applyFill="1" applyBorder="1"/>
    <xf numFmtId="0" fontId="24" fillId="0" borderId="3" xfId="16" applyFont="1" applyFill="1" applyBorder="1" applyAlignment="1">
      <alignment horizontal="center" wrapText="1"/>
    </xf>
    <xf numFmtId="0" fontId="8" fillId="0" borderId="3" xfId="16" applyFont="1" applyFill="1" applyBorder="1" applyAlignment="1">
      <alignment horizontal="center" wrapText="1"/>
    </xf>
    <xf numFmtId="0" fontId="8" fillId="0" borderId="0" xfId="16" applyFont="1" applyAlignment="1">
      <alignment horizontal="center" wrapText="1"/>
    </xf>
    <xf numFmtId="0" fontId="8" fillId="0" borderId="3" xfId="0" applyFont="1" applyBorder="1" applyAlignment="1">
      <alignment horizontal="center" wrapText="1"/>
    </xf>
    <xf numFmtId="42" fontId="6" fillId="0" borderId="0" xfId="1" applyNumberFormat="1"/>
    <xf numFmtId="10" fontId="6" fillId="0" borderId="0" xfId="24" applyNumberFormat="1" applyFont="1"/>
    <xf numFmtId="41" fontId="6" fillId="0" borderId="0" xfId="25" applyNumberFormat="1" applyFont="1"/>
    <xf numFmtId="42" fontId="8" fillId="0" borderId="5" xfId="1" applyNumberFormat="1" applyFont="1" applyBorder="1"/>
    <xf numFmtId="10" fontId="8" fillId="0" borderId="5" xfId="24" applyNumberFormat="1" applyFont="1" applyBorder="1"/>
    <xf numFmtId="41" fontId="6" fillId="0" borderId="0" xfId="25" applyNumberFormat="1" applyFont="1" applyAlignment="1">
      <alignment horizontal="center"/>
    </xf>
    <xf numFmtId="0" fontId="6" fillId="4" borderId="13" xfId="16" applyFont="1" applyFill="1" applyBorder="1" applyAlignment="1">
      <alignment wrapText="1"/>
    </xf>
    <xf numFmtId="0" fontId="0" fillId="0" borderId="0" xfId="26" applyFont="1"/>
    <xf numFmtId="164" fontId="0" fillId="0" borderId="0" xfId="1" applyNumberFormat="1" applyFont="1" applyAlignment="1">
      <alignment horizontal="center"/>
    </xf>
    <xf numFmtId="0" fontId="0" fillId="0" borderId="0" xfId="0" applyAlignment="1">
      <alignment horizontal="right" vertical="top" wrapText="1"/>
    </xf>
    <xf numFmtId="3" fontId="0" fillId="0" borderId="0" xfId="0" applyNumberFormat="1" applyAlignment="1">
      <alignment horizontal="right" vertical="top" wrapText="1"/>
    </xf>
    <xf numFmtId="3" fontId="8" fillId="0" borderId="5" xfId="16" applyNumberFormat="1" applyFont="1" applyBorder="1"/>
    <xf numFmtId="0" fontId="6" fillId="0" borderId="0" xfId="16" applyFont="1" applyFill="1" applyAlignment="1">
      <alignment horizontal="left"/>
    </xf>
    <xf numFmtId="164" fontId="8" fillId="0" borderId="3" xfId="1" applyNumberFormat="1" applyFont="1" applyFill="1" applyBorder="1" applyAlignment="1">
      <alignment horizontal="center"/>
    </xf>
    <xf numFmtId="4" fontId="6" fillId="0" borderId="0" xfId="1" applyNumberFormat="1" applyFont="1" applyFill="1" applyAlignment="1">
      <alignment horizontal="center"/>
    </xf>
    <xf numFmtId="41" fontId="6" fillId="0" borderId="0" xfId="1" applyNumberFormat="1" applyFont="1" applyFill="1"/>
    <xf numFmtId="41" fontId="6" fillId="0" borderId="0" xfId="1" applyNumberFormat="1" applyFont="1" applyFill="1" applyProtection="1">
      <protection locked="0"/>
    </xf>
    <xf numFmtId="41" fontId="6" fillId="0" borderId="0" xfId="1" applyNumberFormat="1" applyFont="1" applyFill="1" applyBorder="1"/>
    <xf numFmtId="37" fontId="8" fillId="7" borderId="0" xfId="16" applyNumberFormat="1" applyFont="1" applyFill="1" applyBorder="1"/>
    <xf numFmtId="37" fontId="6" fillId="7" borderId="5" xfId="16" applyNumberFormat="1" applyFont="1" applyFill="1" applyBorder="1"/>
    <xf numFmtId="42" fontId="6" fillId="0" borderId="5" xfId="16" applyNumberFormat="1" applyFont="1" applyFill="1" applyBorder="1"/>
    <xf numFmtId="0" fontId="6" fillId="0" borderId="5" xfId="16" applyFont="1" applyFill="1" applyBorder="1"/>
    <xf numFmtId="42" fontId="6" fillId="0" borderId="2" xfId="1" applyNumberFormat="1" applyFont="1" applyFill="1" applyBorder="1" applyAlignment="1">
      <alignment horizontal="right"/>
    </xf>
    <xf numFmtId="0" fontId="6" fillId="0" borderId="0" xfId="0" applyFont="1" applyFill="1" applyAlignment="1">
      <alignment horizontal="center"/>
    </xf>
    <xf numFmtId="0" fontId="6" fillId="0" borderId="0" xfId="0" applyFont="1" applyAlignment="1">
      <alignment horizontal="center"/>
    </xf>
    <xf numFmtId="0" fontId="11" fillId="0" borderId="0" xfId="0" applyFont="1"/>
    <xf numFmtId="0" fontId="6" fillId="0" borderId="0" xfId="0" applyFont="1" applyFill="1" applyBorder="1" applyAlignment="1">
      <alignment horizontal="center"/>
    </xf>
    <xf numFmtId="0" fontId="6" fillId="0" borderId="0" xfId="0" applyFont="1" applyFill="1" applyBorder="1"/>
    <xf numFmtId="0" fontId="8" fillId="7" borderId="0" xfId="0" applyFont="1" applyFill="1" applyBorder="1" applyAlignment="1">
      <alignment horizontal="center"/>
    </xf>
    <xf numFmtId="0" fontId="8" fillId="7" borderId="0" xfId="0" applyFont="1" applyFill="1" applyBorder="1" applyAlignment="1">
      <alignment horizontal="center" wrapText="1"/>
    </xf>
    <xf numFmtId="38" fontId="6" fillId="0" borderId="0" xfId="0" applyNumberFormat="1" applyFont="1" applyFill="1" applyBorder="1"/>
    <xf numFmtId="0" fontId="6" fillId="7" borderId="0" xfId="0" quotePrefix="1" applyFont="1" applyFill="1" applyBorder="1" applyAlignment="1">
      <alignment horizontal="left"/>
    </xf>
    <xf numFmtId="0" fontId="6" fillId="7" borderId="0" xfId="0" applyFont="1" applyFill="1" applyBorder="1" applyAlignment="1"/>
    <xf numFmtId="38" fontId="6" fillId="0" borderId="0" xfId="0" applyNumberFormat="1" applyFont="1" applyFill="1"/>
    <xf numFmtId="0" fontId="10" fillId="7" borderId="0" xfId="0" applyFont="1" applyFill="1" applyBorder="1" applyAlignment="1">
      <alignment horizontal="center"/>
    </xf>
    <xf numFmtId="39" fontId="8" fillId="0" borderId="0" xfId="74" applyNumberFormat="1" applyFont="1" applyFill="1" applyBorder="1" applyProtection="1"/>
    <xf numFmtId="0" fontId="6" fillId="0" borderId="0" xfId="0" applyFont="1" applyBorder="1"/>
    <xf numFmtId="0" fontId="47" fillId="0" borderId="0" xfId="0" applyFont="1" applyBorder="1" applyAlignment="1">
      <alignment horizontal="center"/>
    </xf>
    <xf numFmtId="0" fontId="8" fillId="0" borderId="0" xfId="74" applyFont="1" applyFill="1" applyBorder="1"/>
    <xf numFmtId="0" fontId="47" fillId="0" borderId="0" xfId="0" applyFont="1" applyBorder="1" applyAlignment="1">
      <alignment horizontal="center" wrapText="1"/>
    </xf>
    <xf numFmtId="0" fontId="0" fillId="0" borderId="0" xfId="0" applyBorder="1" applyAlignment="1">
      <alignment horizontal="center"/>
    </xf>
    <xf numFmtId="42" fontId="6" fillId="7" borderId="50" xfId="16" applyNumberFormat="1" applyFont="1" applyFill="1" applyBorder="1"/>
    <xf numFmtId="42" fontId="47" fillId="33" borderId="12" xfId="0" applyNumberFormat="1" applyFont="1" applyFill="1" applyBorder="1"/>
    <xf numFmtId="42" fontId="47" fillId="0" borderId="51" xfId="0" applyNumberFormat="1" applyFont="1" applyBorder="1"/>
    <xf numFmtId="42" fontId="47" fillId="0" borderId="0" xfId="0" applyNumberFormat="1" applyFont="1" applyBorder="1"/>
    <xf numFmtId="39" fontId="21" fillId="0" borderId="40" xfId="74" applyNumberFormat="1" applyFont="1" applyFill="1" applyBorder="1" applyProtection="1"/>
    <xf numFmtId="42" fontId="47" fillId="0" borderId="53" xfId="0" applyNumberFormat="1" applyFont="1" applyBorder="1"/>
    <xf numFmtId="41" fontId="6" fillId="7" borderId="43" xfId="16" applyNumberFormat="1" applyFont="1" applyFill="1" applyBorder="1"/>
    <xf numFmtId="41" fontId="47" fillId="33" borderId="44" xfId="0" applyNumberFormat="1" applyFont="1" applyFill="1" applyBorder="1"/>
    <xf numFmtId="41" fontId="8" fillId="0" borderId="54" xfId="16" applyNumberFormat="1" applyFont="1" applyFill="1" applyBorder="1"/>
    <xf numFmtId="41" fontId="47" fillId="0" borderId="42" xfId="0" applyNumberFormat="1" applyFont="1" applyBorder="1"/>
    <xf numFmtId="41" fontId="47" fillId="0" borderId="0" xfId="0" applyNumberFormat="1" applyFont="1" applyBorder="1"/>
    <xf numFmtId="41" fontId="47" fillId="0" borderId="45" xfId="0" applyNumberFormat="1" applyFont="1" applyBorder="1"/>
    <xf numFmtId="41" fontId="6" fillId="7" borderId="55" xfId="16" applyNumberFormat="1" applyFont="1" applyFill="1" applyBorder="1"/>
    <xf numFmtId="41" fontId="47" fillId="33" borderId="56" xfId="0" applyNumberFormat="1" applyFont="1" applyFill="1" applyBorder="1"/>
    <xf numFmtId="41" fontId="47" fillId="0" borderId="57" xfId="0" applyNumberFormat="1" applyFont="1" applyBorder="1"/>
    <xf numFmtId="41" fontId="47" fillId="34" borderId="0" xfId="0" applyNumberFormat="1" applyFont="1" applyFill="1" applyBorder="1"/>
    <xf numFmtId="42" fontId="6" fillId="0" borderId="0" xfId="0" applyNumberFormat="1" applyFont="1"/>
    <xf numFmtId="0" fontId="47" fillId="34" borderId="43" xfId="0" applyFont="1" applyFill="1" applyBorder="1"/>
    <xf numFmtId="0" fontId="47" fillId="34" borderId="0" xfId="0" applyFont="1" applyFill="1" applyBorder="1"/>
    <xf numFmtId="42" fontId="47" fillId="34" borderId="58" xfId="0" applyNumberFormat="1" applyFont="1" applyFill="1" applyBorder="1"/>
    <xf numFmtId="0" fontId="47" fillId="34" borderId="58" xfId="0" applyFont="1" applyFill="1" applyBorder="1"/>
    <xf numFmtId="41" fontId="47" fillId="7" borderId="41" xfId="75" applyNumberFormat="1" applyFont="1" applyFill="1" applyBorder="1"/>
    <xf numFmtId="41" fontId="47" fillId="7" borderId="0" xfId="0" applyNumberFormat="1" applyFont="1" applyFill="1" applyBorder="1"/>
    <xf numFmtId="42" fontId="47" fillId="0" borderId="0" xfId="0" applyNumberFormat="1" applyFont="1"/>
    <xf numFmtId="0" fontId="47" fillId="0" borderId="55" xfId="0" applyFont="1" applyBorder="1"/>
    <xf numFmtId="0" fontId="47" fillId="0" borderId="59" xfId="0" applyFont="1" applyBorder="1"/>
    <xf numFmtId="0" fontId="47" fillId="0" borderId="0" xfId="0" applyFont="1"/>
    <xf numFmtId="42" fontId="45" fillId="0" borderId="61" xfId="0" applyNumberFormat="1" applyFont="1" applyBorder="1"/>
    <xf numFmtId="0" fontId="6" fillId="0" borderId="33" xfId="16" applyFont="1" applyBorder="1"/>
    <xf numFmtId="0" fontId="6" fillId="0" borderId="34" xfId="16" applyFont="1" applyBorder="1"/>
    <xf numFmtId="42" fontId="8" fillId="0" borderId="35" xfId="16" applyNumberFormat="1" applyFont="1" applyFill="1" applyBorder="1"/>
    <xf numFmtId="0" fontId="47" fillId="0" borderId="0" xfId="0" applyFont="1" applyBorder="1"/>
    <xf numFmtId="41" fontId="6" fillId="0" borderId="0" xfId="0" applyNumberFormat="1" applyFont="1" applyBorder="1"/>
    <xf numFmtId="37" fontId="6" fillId="0" borderId="0" xfId="0" applyNumberFormat="1" applyFont="1" applyFill="1" applyBorder="1"/>
    <xf numFmtId="37" fontId="8" fillId="0" borderId="0" xfId="0" applyNumberFormat="1" applyFont="1" applyFill="1" applyBorder="1"/>
    <xf numFmtId="41" fontId="47" fillId="0" borderId="0" xfId="0" applyNumberFormat="1" applyFont="1"/>
    <xf numFmtId="41" fontId="6" fillId="0" borderId="0" xfId="0" applyNumberFormat="1" applyFont="1" applyFill="1" applyBorder="1"/>
    <xf numFmtId="42" fontId="6" fillId="0" borderId="0" xfId="0" applyNumberFormat="1" applyFont="1" applyBorder="1"/>
    <xf numFmtId="164" fontId="6" fillId="0" borderId="0" xfId="1" applyNumberFormat="1" applyFont="1" applyFill="1" applyBorder="1" applyProtection="1">
      <protection locked="0"/>
    </xf>
    <xf numFmtId="38" fontId="6" fillId="0" borderId="0" xfId="0" applyNumberFormat="1" applyFont="1"/>
    <xf numFmtId="43" fontId="6" fillId="0" borderId="0" xfId="0" applyNumberFormat="1" applyFont="1"/>
    <xf numFmtId="0" fontId="6" fillId="0" borderId="0" xfId="0" applyFont="1" applyFill="1" applyAlignment="1"/>
    <xf numFmtId="0" fontId="6" fillId="0" borderId="0" xfId="0" applyFont="1" applyAlignment="1"/>
    <xf numFmtId="38" fontId="6" fillId="0" borderId="0" xfId="16" applyNumberFormat="1" applyFont="1" applyFill="1" applyAlignment="1"/>
    <xf numFmtId="38" fontId="6" fillId="0" borderId="0" xfId="16" applyNumberFormat="1" applyFont="1" applyFill="1" applyBorder="1"/>
    <xf numFmtId="41" fontId="6" fillId="6" borderId="0" xfId="0" applyNumberFormat="1" applyFont="1" applyFill="1"/>
    <xf numFmtId="41" fontId="6" fillId="0" borderId="2" xfId="0" applyNumberFormat="1" applyFont="1" applyFill="1" applyBorder="1"/>
    <xf numFmtId="41" fontId="6" fillId="0" borderId="0" xfId="0" applyNumberFormat="1" applyFont="1" applyFill="1"/>
    <xf numFmtId="41" fontId="6" fillId="6" borderId="2" xfId="0" applyNumberFormat="1" applyFont="1" applyFill="1" applyBorder="1"/>
    <xf numFmtId="41" fontId="6" fillId="6" borderId="3" xfId="0" applyNumberFormat="1" applyFont="1" applyFill="1" applyBorder="1"/>
    <xf numFmtId="41" fontId="6" fillId="0" borderId="5" xfId="0" applyNumberFormat="1" applyFont="1" applyFill="1" applyBorder="1"/>
    <xf numFmtId="43" fontId="6" fillId="0" borderId="13" xfId="0" applyNumberFormat="1" applyFont="1" applyFill="1" applyBorder="1"/>
    <xf numFmtId="42" fontId="0" fillId="0" borderId="0" xfId="0" applyNumberFormat="1"/>
    <xf numFmtId="41" fontId="47" fillId="33" borderId="41" xfId="0" applyNumberFormat="1" applyFont="1" applyFill="1" applyBorder="1"/>
    <xf numFmtId="0" fontId="0" fillId="5" borderId="0" xfId="0" applyFill="1"/>
    <xf numFmtId="0" fontId="8" fillId="0" borderId="0" xfId="0" applyFont="1" applyAlignment="1">
      <alignment horizontal="center" wrapText="1"/>
    </xf>
    <xf numFmtId="0" fontId="0" fillId="5" borderId="0" xfId="0" applyFont="1" applyFill="1"/>
    <xf numFmtId="42" fontId="8" fillId="0" borderId="5" xfId="0" applyNumberFormat="1" applyFont="1" applyBorder="1"/>
    <xf numFmtId="41" fontId="0" fillId="0" borderId="0" xfId="0" applyNumberFormat="1"/>
    <xf numFmtId="41" fontId="7" fillId="0" borderId="0" xfId="1" applyNumberFormat="1" applyFont="1" applyFill="1" applyProtection="1">
      <protection locked="0"/>
    </xf>
    <xf numFmtId="41" fontId="6" fillId="0" borderId="2" xfId="1" applyNumberFormat="1" applyFont="1" applyFill="1" applyBorder="1"/>
    <xf numFmtId="0" fontId="8" fillId="0" borderId="0" xfId="0" applyFont="1" applyAlignment="1">
      <alignment horizontal="center"/>
    </xf>
    <xf numFmtId="0" fontId="50" fillId="0" borderId="0" xfId="16" applyFont="1" applyFill="1"/>
    <xf numFmtId="0" fontId="50" fillId="0" borderId="0" xfId="0" applyFont="1" applyFill="1"/>
    <xf numFmtId="0" fontId="10" fillId="0" borderId="0" xfId="16" applyFont="1" applyBorder="1"/>
    <xf numFmtId="0" fontId="10" fillId="0" borderId="0" xfId="0" applyFont="1" applyBorder="1"/>
    <xf numFmtId="0" fontId="6" fillId="0" borderId="0" xfId="16" applyBorder="1" applyAlignment="1">
      <alignment horizontal="center"/>
    </xf>
    <xf numFmtId="0" fontId="12" fillId="0" borderId="0" xfId="16" applyFont="1" applyBorder="1" applyAlignment="1">
      <alignment horizontal="center"/>
    </xf>
    <xf numFmtId="0" fontId="8" fillId="0" borderId="63" xfId="16" applyFont="1" applyBorder="1"/>
    <xf numFmtId="0" fontId="6" fillId="0" borderId="64" xfId="16" applyBorder="1"/>
    <xf numFmtId="0" fontId="6" fillId="0" borderId="52" xfId="16" applyBorder="1"/>
    <xf numFmtId="0" fontId="6" fillId="0" borderId="62" xfId="16" applyBorder="1"/>
    <xf numFmtId="0" fontId="6" fillId="0" borderId="41" xfId="16" applyBorder="1"/>
    <xf numFmtId="0" fontId="6" fillId="0" borderId="65" xfId="16" applyBorder="1"/>
    <xf numFmtId="0" fontId="6" fillId="0" borderId="3" xfId="16" applyBorder="1"/>
    <xf numFmtId="0" fontId="6" fillId="0" borderId="48" xfId="16" applyBorder="1"/>
    <xf numFmtId="0" fontId="52" fillId="0" borderId="0" xfId="0" applyFont="1" applyAlignment="1">
      <alignment horizontal="left" readingOrder="1"/>
    </xf>
    <xf numFmtId="0" fontId="54" fillId="0" borderId="0" xfId="0" applyFont="1"/>
    <xf numFmtId="0" fontId="53" fillId="0" borderId="0" xfId="0" applyFont="1"/>
    <xf numFmtId="37" fontId="6" fillId="7" borderId="0" xfId="0" applyNumberFormat="1" applyFont="1" applyFill="1" applyAlignment="1">
      <alignment horizontal="center"/>
    </xf>
    <xf numFmtId="37" fontId="8" fillId="7" borderId="0" xfId="0" applyNumberFormat="1" applyFont="1" applyFill="1"/>
    <xf numFmtId="37" fontId="6" fillId="7" borderId="0" xfId="0" applyNumberFormat="1" applyFont="1" applyFill="1" applyAlignment="1"/>
    <xf numFmtId="37" fontId="6" fillId="7" borderId="0" xfId="0" applyNumberFormat="1" applyFont="1" applyFill="1"/>
    <xf numFmtId="37" fontId="6" fillId="7" borderId="0" xfId="0" applyNumberFormat="1" applyFont="1" applyFill="1" applyBorder="1"/>
    <xf numFmtId="37" fontId="6" fillId="31" borderId="0" xfId="0" applyNumberFormat="1" applyFont="1" applyFill="1" applyAlignment="1">
      <alignment horizontal="center"/>
    </xf>
    <xf numFmtId="37" fontId="6" fillId="31" borderId="0" xfId="0" applyNumberFormat="1" applyFont="1" applyFill="1"/>
    <xf numFmtId="41" fontId="6" fillId="7" borderId="0" xfId="0" applyNumberFormat="1" applyFont="1" applyFill="1"/>
    <xf numFmtId="37" fontId="6" fillId="7" borderId="2" xfId="0" applyNumberFormat="1" applyFont="1" applyFill="1" applyBorder="1"/>
    <xf numFmtId="37" fontId="8" fillId="7" borderId="3" xfId="0" applyNumberFormat="1" applyFont="1" applyFill="1" applyBorder="1"/>
    <xf numFmtId="37" fontId="6" fillId="7" borderId="0" xfId="0" applyNumberFormat="1" applyFont="1" applyFill="1" applyAlignment="1">
      <alignment horizontal="left"/>
    </xf>
    <xf numFmtId="37" fontId="6" fillId="7" borderId="3" xfId="0" applyNumberFormat="1" applyFont="1" applyFill="1" applyBorder="1"/>
    <xf numFmtId="37" fontId="8" fillId="7" borderId="0" xfId="0" applyNumberFormat="1" applyFont="1" applyFill="1" applyBorder="1"/>
    <xf numFmtId="37" fontId="6" fillId="7" borderId="5" xfId="0" applyNumberFormat="1" applyFont="1" applyFill="1" applyBorder="1"/>
    <xf numFmtId="41" fontId="6" fillId="7" borderId="5" xfId="0" applyNumberFormat="1" applyFont="1" applyFill="1" applyBorder="1"/>
    <xf numFmtId="41" fontId="6" fillId="7" borderId="2" xfId="0" applyNumberFormat="1" applyFont="1" applyFill="1" applyBorder="1"/>
    <xf numFmtId="41" fontId="6" fillId="7" borderId="0" xfId="0" applyNumberFormat="1" applyFont="1" applyFill="1" applyBorder="1"/>
    <xf numFmtId="41" fontId="6" fillId="7" borderId="3" xfId="0" applyNumberFormat="1" applyFont="1" applyFill="1" applyBorder="1"/>
    <xf numFmtId="49" fontId="6" fillId="0" borderId="0" xfId="16" applyNumberFormat="1" applyAlignment="1">
      <alignment horizontal="center"/>
    </xf>
    <xf numFmtId="39" fontId="21" fillId="0" borderId="66" xfId="74" applyNumberFormat="1" applyFont="1" applyFill="1" applyBorder="1" applyAlignment="1" applyProtection="1">
      <alignment horizontal="left"/>
    </xf>
    <xf numFmtId="41" fontId="47" fillId="7" borderId="67" xfId="0" applyNumberFormat="1" applyFont="1" applyFill="1" applyBorder="1"/>
    <xf numFmtId="44" fontId="47" fillId="0" borderId="61" xfId="0" applyNumberFormat="1" applyFont="1" applyBorder="1"/>
    <xf numFmtId="41" fontId="47" fillId="7" borderId="68" xfId="75" applyNumberFormat="1" applyFont="1" applyFill="1" applyBorder="1" applyAlignment="1">
      <alignment horizontal="center"/>
    </xf>
    <xf numFmtId="41" fontId="47" fillId="33" borderId="58" xfId="0" applyNumberFormat="1" applyFont="1" applyFill="1" applyBorder="1"/>
    <xf numFmtId="41" fontId="47" fillId="33" borderId="60" xfId="0" applyNumberFormat="1" applyFont="1" applyFill="1" applyBorder="1"/>
    <xf numFmtId="0" fontId="8" fillId="0" borderId="72" xfId="0" applyFont="1" applyBorder="1" applyAlignment="1"/>
    <xf numFmtId="0" fontId="6" fillId="0" borderId="73" xfId="0" applyFont="1" applyBorder="1" applyAlignment="1"/>
    <xf numFmtId="0" fontId="6" fillId="0" borderId="73" xfId="0" applyFont="1" applyBorder="1"/>
    <xf numFmtId="0" fontId="6" fillId="0" borderId="52" xfId="0" applyFont="1" applyBorder="1"/>
    <xf numFmtId="0" fontId="6" fillId="0" borderId="74" xfId="0" applyFont="1" applyBorder="1"/>
    <xf numFmtId="42" fontId="6" fillId="0" borderId="0" xfId="0" applyNumberFormat="1" applyFont="1" applyBorder="1" applyAlignment="1"/>
    <xf numFmtId="42" fontId="6" fillId="0" borderId="41" xfId="0" applyNumberFormat="1" applyFont="1" applyBorder="1"/>
    <xf numFmtId="0" fontId="6" fillId="0" borderId="41" xfId="0" applyFont="1" applyBorder="1"/>
    <xf numFmtId="41" fontId="6" fillId="0" borderId="0" xfId="0" applyNumberFormat="1" applyFont="1" applyBorder="1" applyAlignment="1"/>
    <xf numFmtId="41" fontId="6" fillId="7" borderId="0" xfId="0" applyNumberFormat="1" applyFont="1" applyFill="1" applyBorder="1" applyAlignment="1">
      <alignment horizontal="left"/>
    </xf>
    <xf numFmtId="0" fontId="6" fillId="0" borderId="48" xfId="0" applyFont="1" applyBorder="1"/>
    <xf numFmtId="41" fontId="6" fillId="0" borderId="0" xfId="0" applyNumberFormat="1" applyFont="1"/>
    <xf numFmtId="41" fontId="6" fillId="0" borderId="3" xfId="0" applyNumberFormat="1" applyFont="1" applyBorder="1"/>
    <xf numFmtId="0" fontId="6" fillId="0" borderId="75" xfId="0" applyFont="1" applyBorder="1"/>
    <xf numFmtId="0" fontId="6" fillId="0" borderId="2" xfId="0" applyFont="1" applyBorder="1"/>
    <xf numFmtId="42" fontId="6" fillId="0" borderId="2" xfId="0" applyNumberFormat="1" applyFont="1" applyBorder="1"/>
    <xf numFmtId="0" fontId="8" fillId="0" borderId="74" xfId="0" applyFont="1" applyBorder="1"/>
    <xf numFmtId="0" fontId="6" fillId="0" borderId="74" xfId="0" applyFont="1" applyBorder="1" applyAlignment="1">
      <alignment horizontal="left"/>
    </xf>
    <xf numFmtId="0" fontId="6" fillId="0" borderId="0" xfId="0" applyFont="1" applyBorder="1" applyAlignment="1">
      <alignment horizontal="left"/>
    </xf>
    <xf numFmtId="42" fontId="6" fillId="33" borderId="13" xfId="16" applyNumberFormat="1" applyFont="1" applyFill="1" applyBorder="1"/>
    <xf numFmtId="0" fontId="6" fillId="0" borderId="76" xfId="0" applyFont="1" applyBorder="1" applyAlignment="1">
      <alignment horizontal="left"/>
    </xf>
    <xf numFmtId="0" fontId="6" fillId="0" borderId="3" xfId="0" applyFont="1" applyBorder="1" applyAlignment="1">
      <alignment horizontal="left"/>
    </xf>
    <xf numFmtId="0" fontId="6" fillId="0" borderId="77" xfId="0" applyFont="1" applyBorder="1" applyAlignment="1">
      <alignment horizontal="left"/>
    </xf>
    <xf numFmtId="0" fontId="6" fillId="0" borderId="78" xfId="0" applyFont="1" applyBorder="1" applyAlignment="1">
      <alignment horizontal="left"/>
    </xf>
    <xf numFmtId="42" fontId="6" fillId="0" borderId="79" xfId="0" applyNumberFormat="1" applyFont="1" applyBorder="1"/>
    <xf numFmtId="42" fontId="6" fillId="0" borderId="80" xfId="0" applyNumberFormat="1" applyFont="1" applyBorder="1"/>
    <xf numFmtId="44" fontId="55" fillId="0" borderId="0" xfId="0" applyNumberFormat="1" applyFont="1"/>
    <xf numFmtId="0" fontId="6" fillId="0" borderId="12" xfId="16" applyBorder="1" applyAlignment="1">
      <alignment horizontal="right"/>
    </xf>
    <xf numFmtId="0" fontId="8" fillId="7" borderId="0" xfId="16" applyFont="1" applyFill="1" applyBorder="1" applyAlignment="1">
      <alignment horizontal="center" vertical="top" wrapText="1"/>
    </xf>
    <xf numFmtId="0" fontId="8" fillId="5" borderId="0" xfId="16" applyFont="1" applyFill="1" applyBorder="1" applyAlignment="1">
      <alignment horizontal="center" vertical="top" wrapText="1"/>
    </xf>
    <xf numFmtId="0" fontId="11" fillId="0" borderId="0" xfId="16" applyFont="1" applyBorder="1" applyAlignment="1">
      <alignment horizontal="center" vertical="top" wrapText="1"/>
    </xf>
    <xf numFmtId="0" fontId="11" fillId="0" borderId="82" xfId="16" applyFont="1" applyBorder="1" applyAlignment="1">
      <alignment vertical="top" wrapText="1"/>
    </xf>
    <xf numFmtId="0" fontId="11" fillId="0" borderId="24" xfId="16" applyFont="1" applyBorder="1" applyAlignment="1">
      <alignment horizontal="center" vertical="top" wrapText="1"/>
    </xf>
    <xf numFmtId="0" fontId="11" fillId="0" borderId="24" xfId="16" applyFont="1" applyBorder="1" applyAlignment="1">
      <alignment vertical="top" wrapText="1"/>
    </xf>
    <xf numFmtId="42" fontId="11" fillId="0" borderId="0" xfId="16" applyNumberFormat="1" applyFont="1" applyBorder="1" applyAlignment="1">
      <alignment horizontal="center" vertical="top" wrapText="1"/>
    </xf>
    <xf numFmtId="42" fontId="6" fillId="0" borderId="0" xfId="16" applyNumberFormat="1" applyFont="1" applyBorder="1" applyAlignment="1">
      <alignment horizontal="center" vertical="top" wrapText="1"/>
    </xf>
    <xf numFmtId="42" fontId="11" fillId="5" borderId="0" xfId="16" applyNumberFormat="1" applyFont="1" applyFill="1" applyBorder="1" applyAlignment="1">
      <alignment horizontal="center" vertical="top" wrapText="1"/>
    </xf>
    <xf numFmtId="42" fontId="6" fillId="0" borderId="0" xfId="16" applyNumberFormat="1"/>
    <xf numFmtId="42" fontId="6" fillId="0" borderId="5" xfId="16" applyNumberFormat="1" applyBorder="1"/>
    <xf numFmtId="0" fontId="6" fillId="0" borderId="0" xfId="16" applyAlignment="1">
      <alignment horizontal="center"/>
    </xf>
    <xf numFmtId="0" fontId="11" fillId="0" borderId="0" xfId="16" applyFont="1" applyBorder="1" applyAlignment="1">
      <alignment vertical="top" wrapText="1"/>
    </xf>
    <xf numFmtId="38" fontId="8" fillId="7" borderId="0" xfId="0" applyNumberFormat="1" applyFont="1" applyFill="1" applyBorder="1" applyAlignment="1">
      <alignment horizontal="center"/>
    </xf>
    <xf numFmtId="42" fontId="6" fillId="35" borderId="12" xfId="0" applyNumberFormat="1" applyFont="1" applyFill="1" applyBorder="1"/>
    <xf numFmtId="42" fontId="6" fillId="35" borderId="13" xfId="0" applyNumberFormat="1" applyFont="1" applyFill="1" applyBorder="1"/>
    <xf numFmtId="0" fontId="6" fillId="0" borderId="89" xfId="16" applyFont="1" applyBorder="1"/>
    <xf numFmtId="0" fontId="6" fillId="0" borderId="90" xfId="16" applyBorder="1"/>
    <xf numFmtId="0" fontId="6" fillId="0" borderId="90" xfId="0" applyFont="1" applyBorder="1"/>
    <xf numFmtId="42" fontId="6" fillId="0" borderId="91" xfId="16" applyNumberFormat="1" applyBorder="1" applyAlignment="1">
      <alignment horizontal="center"/>
    </xf>
    <xf numFmtId="0" fontId="6" fillId="0" borderId="92" xfId="16" applyFont="1" applyBorder="1"/>
    <xf numFmtId="42" fontId="6" fillId="7" borderId="93" xfId="16" applyNumberFormat="1" applyFont="1" applyFill="1" applyBorder="1" applyAlignment="1">
      <alignment horizontal="left"/>
    </xf>
    <xf numFmtId="42" fontId="6" fillId="0" borderId="94" xfId="16" applyNumberFormat="1" applyBorder="1"/>
    <xf numFmtId="0" fontId="6" fillId="0" borderId="92" xfId="0" applyFont="1" applyBorder="1"/>
    <xf numFmtId="42" fontId="6" fillId="0" borderId="94" xfId="0" applyNumberFormat="1" applyFont="1" applyBorder="1"/>
    <xf numFmtId="0" fontId="6" fillId="0" borderId="92" xfId="16" applyFont="1" applyBorder="1" applyAlignment="1"/>
    <xf numFmtId="0" fontId="6" fillId="0" borderId="92" xfId="16" applyFont="1" applyBorder="1" applyAlignment="1">
      <alignment horizontal="left"/>
    </xf>
    <xf numFmtId="0" fontId="6" fillId="0" borderId="94" xfId="0" applyFont="1" applyBorder="1"/>
    <xf numFmtId="0" fontId="6" fillId="0" borderId="92" xfId="16" applyFont="1" applyFill="1" applyBorder="1" applyAlignment="1"/>
    <xf numFmtId="0" fontId="6" fillId="0" borderId="95" xfId="0" applyFont="1" applyBorder="1"/>
    <xf numFmtId="0" fontId="6" fillId="0" borderId="96" xfId="0" applyFont="1" applyBorder="1"/>
    <xf numFmtId="42" fontId="6" fillId="0" borderId="97" xfId="16" applyNumberFormat="1" applyBorder="1"/>
    <xf numFmtId="0" fontId="8" fillId="0" borderId="63" xfId="0" applyFont="1" applyBorder="1"/>
    <xf numFmtId="0" fontId="6" fillId="0" borderId="64" xfId="0" applyFont="1" applyBorder="1"/>
    <xf numFmtId="0" fontId="0" fillId="0" borderId="62" xfId="0" applyBorder="1"/>
    <xf numFmtId="0" fontId="0" fillId="0" borderId="41" xfId="0" applyBorder="1"/>
    <xf numFmtId="0" fontId="6" fillId="0" borderId="62" xfId="0" applyFont="1" applyBorder="1"/>
    <xf numFmtId="0" fontId="6" fillId="0" borderId="0" xfId="0" applyFont="1" applyBorder="1" applyAlignment="1"/>
    <xf numFmtId="0" fontId="6" fillId="0" borderId="41" xfId="0" applyFont="1" applyBorder="1" applyAlignment="1"/>
    <xf numFmtId="0" fontId="6" fillId="0" borderId="65" xfId="0" applyFont="1" applyBorder="1"/>
    <xf numFmtId="0" fontId="6" fillId="0" borderId="3" xfId="0" applyFont="1" applyBorder="1"/>
    <xf numFmtId="0" fontId="6" fillId="0" borderId="3" xfId="0" applyFont="1" applyBorder="1" applyAlignment="1"/>
    <xf numFmtId="42" fontId="8" fillId="0" borderId="0" xfId="0" applyNumberFormat="1" applyFont="1" applyAlignment="1">
      <alignment horizontal="center"/>
    </xf>
    <xf numFmtId="0" fontId="45" fillId="0" borderId="0" xfId="0" applyFont="1" applyAlignment="1">
      <alignment horizontal="center"/>
    </xf>
    <xf numFmtId="41" fontId="6" fillId="0" borderId="13" xfId="0" applyNumberFormat="1" applyFont="1" applyFill="1" applyBorder="1"/>
    <xf numFmtId="41" fontId="47" fillId="33" borderId="52" xfId="0" applyNumberFormat="1" applyFont="1" applyFill="1" applyBorder="1"/>
    <xf numFmtId="41" fontId="6" fillId="0" borderId="0" xfId="16" applyNumberFormat="1"/>
    <xf numFmtId="169" fontId="6" fillId="0" borderId="0" xfId="16" applyNumberFormat="1"/>
    <xf numFmtId="0" fontId="8" fillId="7" borderId="13" xfId="16" applyFont="1" applyFill="1" applyBorder="1" applyAlignment="1">
      <alignment horizontal="center"/>
    </xf>
    <xf numFmtId="0" fontId="0" fillId="0" borderId="0" xfId="0" applyAlignment="1">
      <alignment horizontal="center"/>
    </xf>
    <xf numFmtId="41" fontId="6" fillId="7" borderId="93" xfId="16" applyNumberFormat="1" applyFont="1" applyFill="1" applyBorder="1" applyAlignment="1">
      <alignment horizontal="left"/>
    </xf>
    <xf numFmtId="0" fontId="45" fillId="0" borderId="98" xfId="0" applyFont="1" applyBorder="1" applyAlignment="1">
      <alignment horizontal="center" wrapText="1"/>
    </xf>
    <xf numFmtId="42" fontId="6" fillId="0" borderId="99" xfId="16" applyNumberFormat="1" applyFont="1" applyFill="1" applyBorder="1" applyAlignment="1">
      <alignment wrapText="1"/>
    </xf>
    <xf numFmtId="41" fontId="6" fillId="0" borderId="100" xfId="16" applyNumberFormat="1" applyFont="1" applyFill="1" applyBorder="1" applyAlignment="1">
      <alignment wrapText="1"/>
    </xf>
    <xf numFmtId="41" fontId="6" fillId="0" borderId="101" xfId="16" applyNumberFormat="1" applyFont="1" applyFill="1" applyBorder="1" applyAlignment="1">
      <alignment wrapText="1"/>
    </xf>
    <xf numFmtId="42" fontId="6" fillId="0" borderId="101" xfId="16" applyNumberFormat="1" applyFont="1" applyFill="1" applyBorder="1" applyAlignment="1">
      <alignment wrapText="1"/>
    </xf>
    <xf numFmtId="0" fontId="6" fillId="0" borderId="0" xfId="66"/>
    <xf numFmtId="0" fontId="11" fillId="0" borderId="0" xfId="66" applyFont="1"/>
    <xf numFmtId="0" fontId="6" fillId="0" borderId="0" xfId="66" applyAlignment="1">
      <alignment horizontal="center"/>
    </xf>
    <xf numFmtId="0" fontId="6" fillId="0" borderId="0" xfId="76" applyFont="1"/>
    <xf numFmtId="3" fontId="6" fillId="0" borderId="0" xfId="77" applyNumberFormat="1" applyFont="1"/>
    <xf numFmtId="4" fontId="6" fillId="0" borderId="0" xfId="76" applyNumberFormat="1" applyFont="1"/>
    <xf numFmtId="0" fontId="6" fillId="0" borderId="0" xfId="66" applyFont="1"/>
    <xf numFmtId="4" fontId="8" fillId="0" borderId="2" xfId="76" applyNumberFormat="1" applyFont="1" applyBorder="1"/>
    <xf numFmtId="0" fontId="6" fillId="0" borderId="0" xfId="77" applyFont="1"/>
    <xf numFmtId="0" fontId="60" fillId="0" borderId="0" xfId="0" applyFont="1" applyBorder="1"/>
    <xf numFmtId="0" fontId="57" fillId="0" borderId="0" xfId="0" applyFont="1" applyBorder="1"/>
    <xf numFmtId="0" fontId="61" fillId="0" borderId="0" xfId="0" applyFont="1" applyAlignment="1">
      <alignment vertical="top" wrapText="1"/>
    </xf>
    <xf numFmtId="0" fontId="0" fillId="0" borderId="0" xfId="0" applyAlignment="1">
      <alignment vertical="top" wrapText="1"/>
    </xf>
    <xf numFmtId="0" fontId="61" fillId="0" borderId="0" xfId="16" applyFont="1" applyAlignment="1">
      <alignment horizontal="left" vertical="top" wrapText="1"/>
    </xf>
    <xf numFmtId="0" fontId="24" fillId="0" borderId="0" xfId="0" applyFont="1" applyAlignment="1">
      <alignment horizontal="left" wrapText="1" readingOrder="1"/>
    </xf>
    <xf numFmtId="0" fontId="6" fillId="0" borderId="0" xfId="0" applyFont="1" applyBorder="1" applyAlignment="1">
      <alignment horizontal="center"/>
    </xf>
    <xf numFmtId="0" fontId="0" fillId="37" borderId="0" xfId="0" applyFill="1"/>
    <xf numFmtId="0" fontId="6" fillId="38" borderId="6" xfId="0" applyFont="1" applyFill="1" applyBorder="1" applyAlignment="1">
      <alignment horizontal="center" wrapText="1"/>
    </xf>
    <xf numFmtId="0" fontId="6" fillId="0" borderId="2" xfId="0" applyFont="1" applyFill="1" applyBorder="1" applyAlignment="1">
      <alignment horizontal="center" wrapText="1"/>
    </xf>
    <xf numFmtId="0" fontId="6" fillId="0" borderId="7" xfId="0" applyFont="1" applyFill="1" applyBorder="1" applyAlignment="1">
      <alignment horizontal="center" wrapText="1"/>
    </xf>
    <xf numFmtId="0" fontId="6" fillId="7" borderId="2" xfId="0" applyFont="1" applyFill="1" applyBorder="1" applyAlignment="1">
      <alignment horizontal="center" wrapText="1"/>
    </xf>
    <xf numFmtId="41" fontId="6" fillId="6" borderId="13" xfId="0" applyNumberFormat="1" applyFont="1" applyFill="1" applyBorder="1" applyAlignment="1">
      <alignment horizontal="center" wrapText="1"/>
    </xf>
    <xf numFmtId="41" fontId="6" fillId="6" borderId="0" xfId="0" applyNumberFormat="1" applyFont="1" applyFill="1" applyBorder="1" applyAlignment="1">
      <alignment horizontal="center" wrapText="1"/>
    </xf>
    <xf numFmtId="0" fontId="0" fillId="7" borderId="6" xfId="0" applyFill="1" applyBorder="1" applyAlignment="1">
      <alignment horizontal="center"/>
    </xf>
    <xf numFmtId="0" fontId="0" fillId="7" borderId="7" xfId="0" applyFill="1" applyBorder="1" applyAlignment="1">
      <alignment horizontal="center"/>
    </xf>
    <xf numFmtId="0" fontId="47" fillId="0" borderId="13" xfId="0" applyFont="1" applyBorder="1" applyAlignment="1">
      <alignment horizontal="center" vertical="top" wrapText="1"/>
    </xf>
    <xf numFmtId="0" fontId="47" fillId="0" borderId="13" xfId="0" applyFont="1" applyBorder="1" applyAlignment="1">
      <alignment horizontal="center" wrapText="1"/>
    </xf>
    <xf numFmtId="0" fontId="6" fillId="38" borderId="2" xfId="0" applyFont="1" applyFill="1" applyBorder="1" applyAlignment="1">
      <alignment horizontal="center" wrapText="1"/>
    </xf>
    <xf numFmtId="0" fontId="6" fillId="7" borderId="7" xfId="0" applyFont="1" applyFill="1" applyBorder="1" applyAlignment="1">
      <alignment horizontal="center" wrapText="1"/>
    </xf>
    <xf numFmtId="49" fontId="0" fillId="0" borderId="0" xfId="0" applyNumberFormat="1" applyAlignment="1">
      <alignment horizontal="center"/>
    </xf>
    <xf numFmtId="0" fontId="6" fillId="38" borderId="0" xfId="0" applyFont="1" applyFill="1" applyAlignment="1">
      <alignment horizontal="center"/>
    </xf>
    <xf numFmtId="0" fontId="6" fillId="7" borderId="0" xfId="0" applyFont="1" applyFill="1" applyAlignment="1">
      <alignment horizontal="center"/>
    </xf>
    <xf numFmtId="0" fontId="0" fillId="33" borderId="0" xfId="0" applyFill="1" applyAlignment="1">
      <alignment horizontal="center"/>
    </xf>
    <xf numFmtId="0" fontId="0" fillId="7" borderId="0" xfId="0" applyFill="1" applyAlignment="1">
      <alignment horizontal="center"/>
    </xf>
    <xf numFmtId="0" fontId="0" fillId="38" borderId="0" xfId="0" applyFill="1" applyAlignment="1">
      <alignment horizontal="center"/>
    </xf>
    <xf numFmtId="0" fontId="0" fillId="37" borderId="0" xfId="0" applyFill="1" applyAlignment="1">
      <alignment horizontal="center"/>
    </xf>
    <xf numFmtId="37" fontId="0" fillId="0" borderId="0" xfId="0" applyNumberFormat="1"/>
    <xf numFmtId="37" fontId="6" fillId="0" borderId="0" xfId="0" applyNumberFormat="1" applyFont="1" applyAlignment="1">
      <alignment horizontal="center" wrapText="1"/>
    </xf>
    <xf numFmtId="0" fontId="8" fillId="0" borderId="2" xfId="0" applyFont="1" applyFill="1" applyBorder="1"/>
    <xf numFmtId="0" fontId="6" fillId="0" borderId="102" xfId="0" applyFont="1" applyBorder="1"/>
    <xf numFmtId="0" fontId="6" fillId="0" borderId="62" xfId="0" applyFont="1" applyFill="1" applyBorder="1"/>
    <xf numFmtId="42" fontId="6" fillId="0" borderId="103" xfId="0" applyNumberFormat="1" applyFont="1" applyBorder="1"/>
    <xf numFmtId="0" fontId="6" fillId="0" borderId="103" xfId="0" applyFont="1" applyBorder="1"/>
    <xf numFmtId="41" fontId="6" fillId="33" borderId="2" xfId="16" applyNumberFormat="1" applyFont="1" applyFill="1" applyBorder="1" applyAlignment="1">
      <alignment horizontal="center"/>
    </xf>
    <xf numFmtId="41" fontId="6" fillId="7" borderId="2" xfId="16" applyNumberFormat="1" applyFont="1" applyFill="1" applyBorder="1" applyAlignment="1">
      <alignment horizontal="center"/>
    </xf>
    <xf numFmtId="41" fontId="6" fillId="7" borderId="0" xfId="16" applyNumberFormat="1" applyFont="1" applyFill="1" applyBorder="1" applyAlignment="1">
      <alignment horizontal="center"/>
    </xf>
    <xf numFmtId="0" fontId="6" fillId="0" borderId="63" xfId="0" applyFont="1" applyFill="1" applyBorder="1"/>
    <xf numFmtId="0" fontId="6" fillId="0" borderId="64" xfId="0" applyFont="1" applyFill="1" applyBorder="1"/>
    <xf numFmtId="41" fontId="6" fillId="7" borderId="103" xfId="0" applyNumberFormat="1" applyFont="1" applyFill="1" applyBorder="1" applyAlignment="1">
      <alignment horizontal="left"/>
    </xf>
    <xf numFmtId="41" fontId="6" fillId="0" borderId="48" xfId="0" applyNumberFormat="1" applyFont="1" applyBorder="1"/>
    <xf numFmtId="0" fontId="6" fillId="0" borderId="65" xfId="0" applyFont="1" applyFill="1" applyBorder="1"/>
    <xf numFmtId="0" fontId="6" fillId="0" borderId="3" xfId="0" applyFont="1" applyFill="1" applyBorder="1"/>
    <xf numFmtId="42" fontId="6" fillId="0" borderId="48" xfId="0" applyNumberFormat="1" applyFont="1" applyBorder="1"/>
    <xf numFmtId="0" fontId="8" fillId="0" borderId="4" xfId="0" applyFont="1" applyFill="1" applyBorder="1"/>
    <xf numFmtId="41" fontId="6" fillId="0" borderId="104" xfId="0" applyNumberFormat="1" applyFont="1" applyBorder="1"/>
    <xf numFmtId="0" fontId="6" fillId="0" borderId="105" xfId="0" applyFont="1" applyBorder="1"/>
    <xf numFmtId="0" fontId="6" fillId="0" borderId="103" xfId="0" applyFont="1" applyBorder="1" applyAlignment="1">
      <alignment horizontal="left"/>
    </xf>
    <xf numFmtId="0" fontId="6" fillId="0" borderId="104" xfId="0" applyFont="1" applyBorder="1"/>
    <xf numFmtId="0" fontId="6" fillId="0" borderId="106" xfId="0" applyFont="1" applyBorder="1"/>
    <xf numFmtId="0" fontId="8" fillId="0" borderId="65" xfId="0" applyFont="1" applyBorder="1" applyAlignment="1"/>
    <xf numFmtId="0" fontId="6" fillId="0" borderId="3" xfId="0" applyFont="1" applyBorder="1" applyAlignment="1">
      <alignment wrapText="1"/>
    </xf>
    <xf numFmtId="41" fontId="6" fillId="33" borderId="0" xfId="16" applyNumberFormat="1" applyFont="1" applyFill="1" applyBorder="1" applyAlignment="1">
      <alignment horizontal="center"/>
    </xf>
    <xf numFmtId="0" fontId="8" fillId="7" borderId="0" xfId="0" applyFont="1" applyFill="1" applyBorder="1"/>
    <xf numFmtId="41" fontId="56" fillId="0" borderId="0" xfId="0" applyNumberFormat="1" applyFont="1" applyFill="1" applyBorder="1" applyAlignment="1">
      <alignment horizontal="center"/>
    </xf>
    <xf numFmtId="41" fontId="7" fillId="7" borderId="0" xfId="0" applyNumberFormat="1" applyFont="1" applyFill="1" applyBorder="1" applyAlignment="1">
      <alignment horizontal="center"/>
    </xf>
    <xf numFmtId="43" fontId="6" fillId="6" borderId="0" xfId="0" applyNumberFormat="1" applyFont="1" applyFill="1"/>
    <xf numFmtId="0" fontId="6" fillId="32" borderId="0" xfId="0" applyFont="1" applyFill="1" applyAlignment="1">
      <alignment horizontal="center"/>
    </xf>
    <xf numFmtId="0" fontId="28" fillId="0" borderId="0" xfId="0" applyFont="1" applyFill="1"/>
    <xf numFmtId="164" fontId="6" fillId="0" borderId="107" xfId="1" applyNumberFormat="1" applyFont="1" applyFill="1" applyBorder="1"/>
    <xf numFmtId="164" fontId="6" fillId="0" borderId="110" xfId="1" applyNumberFormat="1" applyFont="1" applyFill="1" applyBorder="1"/>
    <xf numFmtId="170" fontId="6" fillId="0" borderId="0" xfId="0" applyNumberFormat="1" applyFont="1" applyFill="1"/>
    <xf numFmtId="0" fontId="6" fillId="0" borderId="11" xfId="0" applyFont="1" applyFill="1" applyBorder="1" applyAlignment="1"/>
    <xf numFmtId="0" fontId="6" fillId="0" borderId="0" xfId="0" applyFont="1" applyFill="1" applyBorder="1" applyAlignment="1"/>
    <xf numFmtId="170" fontId="47" fillId="7" borderId="0" xfId="25" applyNumberFormat="1" applyFont="1" applyFill="1" applyBorder="1" applyAlignment="1">
      <alignment horizontal="right" vertical="top"/>
    </xf>
    <xf numFmtId="0" fontId="6" fillId="0" borderId="0" xfId="0" applyFont="1" applyAlignment="1">
      <alignment wrapText="1"/>
    </xf>
    <xf numFmtId="41" fontId="0" fillId="0" borderId="0" xfId="0" applyNumberFormat="1" applyBorder="1" applyAlignment="1">
      <alignment wrapText="1"/>
    </xf>
    <xf numFmtId="42" fontId="0" fillId="0" borderId="5" xfId="0" applyNumberFormat="1" applyBorder="1" applyAlignment="1">
      <alignment wrapText="1"/>
    </xf>
    <xf numFmtId="0" fontId="6" fillId="0" borderId="109" xfId="0" applyFont="1" applyFill="1" applyBorder="1"/>
    <xf numFmtId="0" fontId="6" fillId="0" borderId="114" xfId="0" applyFont="1" applyFill="1" applyBorder="1" applyAlignment="1">
      <alignment wrapText="1"/>
    </xf>
    <xf numFmtId="0" fontId="0" fillId="0" borderId="0" xfId="0" applyFill="1" applyAlignment="1">
      <alignment wrapText="1"/>
    </xf>
    <xf numFmtId="42" fontId="0" fillId="0" borderId="0" xfId="0" applyNumberFormat="1" applyAlignment="1">
      <alignment wrapText="1"/>
    </xf>
    <xf numFmtId="0" fontId="6" fillId="0" borderId="0" xfId="0" applyFont="1" applyFill="1" applyAlignment="1">
      <alignment wrapText="1"/>
    </xf>
    <xf numFmtId="2" fontId="6" fillId="0" borderId="0" xfId="16" applyNumberFormat="1" applyFont="1" applyFill="1" applyBorder="1"/>
    <xf numFmtId="4" fontId="6" fillId="0" borderId="0" xfId="16" applyNumberFormat="1" applyFont="1" applyFill="1" applyBorder="1"/>
    <xf numFmtId="0" fontId="8" fillId="0" borderId="0" xfId="16" applyFont="1"/>
    <xf numFmtId="0" fontId="6" fillId="7" borderId="0" xfId="16" applyFill="1" applyAlignment="1">
      <alignment horizontal="center"/>
    </xf>
    <xf numFmtId="0" fontId="6" fillId="0" borderId="0" xfId="16" applyAlignment="1">
      <alignment horizontal="center" wrapText="1"/>
    </xf>
    <xf numFmtId="0" fontId="8" fillId="0" borderId="3" xfId="16" applyFont="1" applyBorder="1" applyAlignment="1">
      <alignment horizontal="center" wrapText="1"/>
    </xf>
    <xf numFmtId="0" fontId="8" fillId="0" borderId="13" xfId="16" applyFont="1" applyFill="1" applyBorder="1" applyAlignment="1">
      <alignment horizontal="center" wrapText="1"/>
    </xf>
    <xf numFmtId="42" fontId="8" fillId="0" borderId="14" xfId="1" applyNumberFormat="1" applyFont="1" applyBorder="1" applyAlignment="1">
      <alignment horizontal="center" wrapText="1"/>
    </xf>
    <xf numFmtId="0" fontId="8" fillId="0" borderId="14" xfId="16" applyFont="1" applyFill="1" applyBorder="1" applyAlignment="1">
      <alignment horizontal="center" wrapText="1"/>
    </xf>
    <xf numFmtId="42" fontId="8" fillId="0" borderId="14" xfId="16" applyNumberFormat="1" applyFont="1" applyBorder="1" applyAlignment="1">
      <alignment horizontal="center" wrapText="1"/>
    </xf>
    <xf numFmtId="0" fontId="8" fillId="0" borderId="13" xfId="16" applyFont="1" applyBorder="1" applyAlignment="1">
      <alignment horizontal="center" wrapText="1"/>
    </xf>
    <xf numFmtId="0" fontId="6" fillId="0" borderId="13" xfId="16" applyBorder="1" applyAlignment="1">
      <alignment horizontal="center" wrapText="1"/>
    </xf>
    <xf numFmtId="0" fontId="8" fillId="4" borderId="13" xfId="16" applyFont="1" applyFill="1" applyBorder="1" applyAlignment="1">
      <alignment horizontal="center"/>
    </xf>
    <xf numFmtId="0" fontId="8" fillId="4" borderId="13" xfId="16" applyFont="1" applyFill="1" applyBorder="1"/>
    <xf numFmtId="164" fontId="6" fillId="7" borderId="0" xfId="1" applyNumberFormat="1" applyFill="1"/>
    <xf numFmtId="41" fontId="6" fillId="0" borderId="0" xfId="1" applyNumberFormat="1"/>
    <xf numFmtId="37" fontId="6" fillId="4" borderId="0" xfId="16" applyNumberFormat="1" applyFill="1"/>
    <xf numFmtId="41" fontId="6" fillId="7" borderId="0" xfId="67" applyNumberFormat="1" applyFill="1"/>
    <xf numFmtId="0" fontId="6" fillId="0" borderId="5" xfId="16" applyBorder="1"/>
    <xf numFmtId="0" fontId="6" fillId="0" borderId="5" xfId="16" applyBorder="1" applyAlignment="1">
      <alignment horizontal="center"/>
    </xf>
    <xf numFmtId="0" fontId="8" fillId="0" borderId="5" xfId="16" applyFont="1" applyBorder="1"/>
    <xf numFmtId="164" fontId="8" fillId="0" borderId="5" xfId="16" applyNumberFormat="1" applyFont="1" applyBorder="1"/>
    <xf numFmtId="43" fontId="6" fillId="4" borderId="0" xfId="1" applyFill="1"/>
    <xf numFmtId="3" fontId="6" fillId="4" borderId="0" xfId="16" applyNumberFormat="1" applyFill="1"/>
    <xf numFmtId="0" fontId="6" fillId="2" borderId="0" xfId="16" applyFill="1"/>
    <xf numFmtId="49" fontId="6" fillId="4" borderId="0" xfId="16" applyNumberFormat="1" applyFont="1" applyFill="1" applyBorder="1" applyAlignment="1">
      <alignment horizontal="center"/>
    </xf>
    <xf numFmtId="41" fontId="6" fillId="0" borderId="0" xfId="1" applyNumberFormat="1" applyAlignment="1">
      <alignment horizontal="center"/>
    </xf>
    <xf numFmtId="41" fontId="6" fillId="2" borderId="0" xfId="1" applyNumberFormat="1" applyFill="1" applyAlignment="1">
      <alignment horizontal="center"/>
    </xf>
    <xf numFmtId="41" fontId="6" fillId="0" borderId="0" xfId="16" applyNumberFormat="1" applyAlignment="1">
      <alignment horizontal="center"/>
    </xf>
    <xf numFmtId="37" fontId="6" fillId="7" borderId="13" xfId="0" applyNumberFormat="1" applyFont="1" applyFill="1" applyBorder="1"/>
    <xf numFmtId="37" fontId="6" fillId="0" borderId="0" xfId="16" applyNumberFormat="1" applyFont="1" applyFill="1" applyAlignment="1">
      <alignment horizontal="center"/>
    </xf>
    <xf numFmtId="38" fontId="30" fillId="4" borderId="0" xfId="1" applyNumberFormat="1" applyFont="1" applyFill="1" applyAlignment="1" applyProtection="1">
      <alignment horizontal="left"/>
    </xf>
    <xf numFmtId="0" fontId="6" fillId="0" borderId="3" xfId="16" applyBorder="1" applyAlignment="1">
      <alignment horizontal="center" wrapText="1"/>
    </xf>
    <xf numFmtId="0" fontId="8" fillId="0" borderId="65" xfId="16" applyFont="1" applyFill="1" applyBorder="1" applyAlignment="1">
      <alignment horizontal="center" wrapText="1"/>
    </xf>
    <xf numFmtId="0" fontId="8" fillId="0" borderId="6" xfId="16" applyFont="1" applyFill="1" applyBorder="1" applyAlignment="1">
      <alignment horizontal="center" wrapText="1"/>
    </xf>
    <xf numFmtId="0" fontId="8" fillId="0" borderId="6" xfId="16" applyFont="1" applyBorder="1" applyAlignment="1">
      <alignment horizontal="center" wrapText="1"/>
    </xf>
    <xf numFmtId="0" fontId="8" fillId="0" borderId="0" xfId="16" applyFont="1" applyBorder="1" applyAlignment="1">
      <alignment horizontal="center" wrapText="1"/>
    </xf>
    <xf numFmtId="0" fontId="6" fillId="32" borderId="0" xfId="16" applyFill="1" applyAlignment="1">
      <alignment horizontal="center"/>
    </xf>
    <xf numFmtId="42" fontId="8" fillId="0" borderId="5" xfId="16" applyNumberFormat="1" applyFont="1" applyBorder="1"/>
    <xf numFmtId="41" fontId="8" fillId="0" borderId="5" xfId="16" applyNumberFormat="1" applyFont="1" applyBorder="1"/>
    <xf numFmtId="0" fontId="6" fillId="2" borderId="0" xfId="16" applyFill="1" applyAlignment="1">
      <alignment horizontal="center"/>
    </xf>
    <xf numFmtId="0" fontId="8" fillId="0" borderId="62" xfId="0" applyFont="1" applyFill="1" applyBorder="1"/>
    <xf numFmtId="42" fontId="8" fillId="39" borderId="0" xfId="0" applyNumberFormat="1" applyFont="1" applyFill="1"/>
    <xf numFmtId="41" fontId="8" fillId="39" borderId="3" xfId="0" applyNumberFormat="1" applyFont="1" applyFill="1" applyBorder="1"/>
    <xf numFmtId="42" fontId="6" fillId="0" borderId="52" xfId="0" applyNumberFormat="1" applyFont="1" applyBorder="1"/>
    <xf numFmtId="42" fontId="8" fillId="39" borderId="41" xfId="0" applyNumberFormat="1" applyFont="1" applyFill="1" applyBorder="1"/>
    <xf numFmtId="0" fontId="6" fillId="0" borderId="41" xfId="0" applyFont="1" applyFill="1" applyBorder="1"/>
    <xf numFmtId="42" fontId="8" fillId="39" borderId="0" xfId="0" applyNumberFormat="1" applyFont="1" applyFill="1" applyBorder="1"/>
    <xf numFmtId="0" fontId="8" fillId="0" borderId="62" xfId="0" applyFont="1" applyBorder="1"/>
    <xf numFmtId="42" fontId="6" fillId="0" borderId="48" xfId="0" applyNumberFormat="1" applyFont="1" applyFill="1" applyBorder="1"/>
    <xf numFmtId="0" fontId="6" fillId="0" borderId="0" xfId="0" applyFont="1" applyFill="1" applyAlignment="1">
      <alignment horizontal="center" wrapText="1"/>
    </xf>
    <xf numFmtId="0" fontId="60" fillId="0" borderId="0" xfId="0" applyFont="1" applyAlignment="1">
      <alignment horizontal="center" wrapText="1"/>
    </xf>
    <xf numFmtId="0" fontId="60" fillId="0" borderId="0" xfId="0" applyFont="1" applyAlignment="1">
      <alignment horizontal="center"/>
    </xf>
    <xf numFmtId="0" fontId="0" fillId="0" borderId="0" xfId="0" applyFill="1"/>
    <xf numFmtId="4" fontId="0" fillId="5" borderId="0" xfId="0" applyNumberFormat="1" applyFill="1" applyBorder="1"/>
    <xf numFmtId="3" fontId="6" fillId="0" borderId="0" xfId="0" applyNumberFormat="1" applyFont="1"/>
    <xf numFmtId="4" fontId="6" fillId="5" borderId="0" xfId="81" applyNumberFormat="1" applyFont="1" applyFill="1" applyBorder="1" applyAlignment="1">
      <alignment horizontal="right"/>
    </xf>
    <xf numFmtId="0" fontId="6" fillId="7" borderId="0" xfId="16" applyFont="1" applyFill="1" applyAlignment="1"/>
    <xf numFmtId="0" fontId="64" fillId="0" borderId="0" xfId="82"/>
    <xf numFmtId="42" fontId="6" fillId="0" borderId="114" xfId="0" applyNumberFormat="1" applyFont="1" applyFill="1" applyBorder="1" applyAlignment="1">
      <alignment wrapText="1"/>
    </xf>
    <xf numFmtId="164" fontId="8" fillId="4" borderId="0" xfId="16" applyNumberFormat="1" applyFont="1" applyFill="1" applyAlignment="1">
      <alignment horizontal="center"/>
    </xf>
    <xf numFmtId="0" fontId="8" fillId="4" borderId="13" xfId="61" applyFont="1" applyFill="1" applyBorder="1" applyAlignment="1">
      <alignment wrapText="1"/>
    </xf>
    <xf numFmtId="0" fontId="6" fillId="40" borderId="13" xfId="61" applyFill="1" applyBorder="1" applyAlignment="1">
      <alignment wrapText="1"/>
    </xf>
    <xf numFmtId="0" fontId="6" fillId="0" borderId="44" xfId="0" applyFont="1" applyFill="1" applyBorder="1"/>
    <xf numFmtId="42" fontId="6" fillId="0" borderId="44" xfId="16" applyNumberFormat="1" applyFont="1" applyFill="1" applyBorder="1"/>
    <xf numFmtId="41" fontId="6" fillId="0" borderId="44" xfId="16" applyNumberFormat="1" applyFont="1" applyFill="1" applyBorder="1"/>
    <xf numFmtId="42" fontId="6" fillId="0" borderId="3" xfId="1" applyNumberFormat="1" applyFont="1" applyFill="1" applyBorder="1"/>
    <xf numFmtId="42" fontId="6" fillId="0" borderId="2" xfId="0" applyNumberFormat="1" applyFont="1" applyFill="1" applyBorder="1"/>
    <xf numFmtId="42" fontId="6" fillId="0" borderId="116" xfId="0" applyNumberFormat="1" applyFont="1" applyFill="1" applyBorder="1"/>
    <xf numFmtId="42" fontId="8" fillId="0" borderId="9" xfId="1" applyNumberFormat="1" applyFont="1" applyFill="1" applyBorder="1"/>
    <xf numFmtId="0" fontId="8" fillId="0" borderId="10" xfId="0" applyFont="1" applyFill="1" applyBorder="1" applyAlignment="1">
      <alignment horizontal="left"/>
    </xf>
    <xf numFmtId="42" fontId="8" fillId="0" borderId="7" xfId="1" applyNumberFormat="1" applyFont="1" applyFill="1" applyBorder="1"/>
    <xf numFmtId="0" fontId="8" fillId="0" borderId="10" xfId="0" quotePrefix="1" applyFont="1" applyFill="1" applyBorder="1" applyAlignment="1">
      <alignment horizontal="left"/>
    </xf>
    <xf numFmtId="42" fontId="8" fillId="0" borderId="7" xfId="1" applyNumberFormat="1" applyFont="1" applyFill="1" applyBorder="1" applyAlignment="1">
      <alignment horizontal="right"/>
    </xf>
    <xf numFmtId="42" fontId="8" fillId="0" borderId="48" xfId="1" applyNumberFormat="1" applyFont="1" applyFill="1" applyBorder="1" applyAlignment="1">
      <alignment horizontal="right"/>
    </xf>
    <xf numFmtId="0" fontId="6" fillId="0" borderId="14" xfId="0" applyFont="1" applyFill="1" applyBorder="1" applyAlignment="1"/>
    <xf numFmtId="0" fontId="8" fillId="0" borderId="0" xfId="0" applyFont="1" applyFill="1" applyBorder="1" applyAlignment="1">
      <alignment horizontal="center"/>
    </xf>
    <xf numFmtId="41" fontId="6" fillId="32" borderId="0" xfId="1" applyNumberFormat="1" applyFont="1" applyFill="1"/>
    <xf numFmtId="0" fontId="6" fillId="0" borderId="0" xfId="0" applyFont="1" applyFill="1" applyBorder="1" applyAlignment="1">
      <alignment wrapText="1"/>
    </xf>
    <xf numFmtId="41" fontId="6" fillId="32" borderId="0" xfId="0" applyNumberFormat="1" applyFont="1" applyFill="1"/>
    <xf numFmtId="41" fontId="6" fillId="32" borderId="0" xfId="16" applyNumberFormat="1" applyFont="1" applyFill="1"/>
    <xf numFmtId="0" fontId="6" fillId="0" borderId="0" xfId="16" applyFill="1"/>
    <xf numFmtId="0" fontId="6" fillId="4" borderId="63" xfId="16" applyFill="1" applyBorder="1"/>
    <xf numFmtId="0" fontId="6" fillId="4" borderId="64" xfId="16" applyFill="1" applyBorder="1"/>
    <xf numFmtId="0" fontId="6" fillId="4" borderId="52" xfId="16" applyFill="1" applyBorder="1"/>
    <xf numFmtId="0" fontId="6" fillId="4" borderId="65" xfId="16" applyFill="1" applyBorder="1" applyAlignment="1">
      <alignment horizontal="center"/>
    </xf>
    <xf numFmtId="0" fontId="6" fillId="4" borderId="3" xfId="16" applyFill="1" applyBorder="1" applyAlignment="1">
      <alignment horizontal="center"/>
    </xf>
    <xf numFmtId="0" fontId="6" fillId="4" borderId="48" xfId="16" applyFill="1" applyBorder="1" applyAlignment="1">
      <alignment horizontal="center"/>
    </xf>
    <xf numFmtId="42" fontId="8" fillId="0" borderId="7" xfId="16" applyNumberFormat="1" applyFont="1" applyFill="1" applyBorder="1"/>
    <xf numFmtId="42" fontId="8" fillId="0" borderId="7" xfId="0" applyNumberFormat="1" applyFont="1" applyFill="1" applyBorder="1" applyAlignment="1"/>
    <xf numFmtId="41" fontId="6" fillId="0" borderId="6" xfId="0" applyNumberFormat="1" applyFont="1" applyFill="1" applyBorder="1" applyAlignment="1"/>
    <xf numFmtId="41" fontId="6" fillId="0" borderId="2" xfId="0" applyNumberFormat="1" applyFont="1" applyFill="1" applyBorder="1" applyAlignment="1"/>
    <xf numFmtId="41" fontId="6" fillId="0" borderId="7" xfId="0" applyNumberFormat="1" applyFont="1" applyFill="1" applyBorder="1" applyAlignment="1"/>
    <xf numFmtId="9" fontId="65" fillId="0" borderId="0" xfId="24" applyFont="1"/>
    <xf numFmtId="9" fontId="6" fillId="0" borderId="0" xfId="16" applyNumberFormat="1"/>
    <xf numFmtId="41" fontId="6" fillId="32" borderId="3" xfId="0" applyNumberFormat="1" applyFont="1" applyFill="1" applyBorder="1"/>
    <xf numFmtId="41" fontId="6" fillId="32" borderId="0" xfId="0" applyNumberFormat="1" applyFont="1" applyFill="1" applyBorder="1"/>
    <xf numFmtId="42" fontId="6" fillId="32" borderId="2" xfId="1" applyNumberFormat="1" applyFont="1" applyFill="1" applyBorder="1"/>
    <xf numFmtId="0" fontId="6" fillId="40" borderId="13" xfId="16" applyFill="1" applyBorder="1" applyAlignment="1">
      <alignment wrapText="1"/>
    </xf>
    <xf numFmtId="14" fontId="6" fillId="4" borderId="0" xfId="16" applyNumberFormat="1" applyFill="1"/>
    <xf numFmtId="0" fontId="6" fillId="40" borderId="13" xfId="0" applyFont="1" applyFill="1" applyBorder="1"/>
    <xf numFmtId="0" fontId="6" fillId="33" borderId="13" xfId="0" applyFont="1" applyFill="1" applyBorder="1" applyAlignment="1">
      <alignment horizontal="center"/>
    </xf>
    <xf numFmtId="0" fontId="8" fillId="0" borderId="13" xfId="0" applyFont="1" applyFill="1" applyBorder="1" applyAlignment="1">
      <alignment horizontal="center"/>
    </xf>
    <xf numFmtId="0" fontId="6" fillId="0" borderId="63" xfId="0" applyFont="1" applyFill="1" applyBorder="1" applyAlignment="1">
      <alignment horizontal="center"/>
    </xf>
    <xf numFmtId="0" fontId="6" fillId="0" borderId="12" xfId="0" applyFont="1" applyFill="1" applyBorder="1"/>
    <xf numFmtId="4" fontId="6" fillId="0" borderId="65" xfId="1" applyNumberFormat="1" applyFont="1" applyFill="1" applyBorder="1" applyAlignment="1">
      <alignment horizontal="center"/>
    </xf>
    <xf numFmtId="0" fontId="47" fillId="0" borderId="63" xfId="0" quotePrefix="1" applyNumberFormat="1" applyFont="1" applyFill="1" applyBorder="1" applyAlignment="1">
      <alignment horizontal="center" wrapText="1"/>
    </xf>
    <xf numFmtId="164" fontId="8" fillId="40" borderId="111" xfId="0" applyNumberFormat="1" applyFont="1" applyFill="1" applyBorder="1" applyAlignment="1"/>
    <xf numFmtId="0" fontId="47" fillId="0" borderId="62" xfId="0" quotePrefix="1" applyNumberFormat="1" applyFont="1" applyFill="1" applyBorder="1" applyAlignment="1">
      <alignment horizontal="center" wrapText="1"/>
    </xf>
    <xf numFmtId="41" fontId="6" fillId="0" borderId="14" xfId="16" applyNumberFormat="1" applyFont="1" applyFill="1" applyBorder="1"/>
    <xf numFmtId="42" fontId="8" fillId="40" borderId="9" xfId="1" applyNumberFormat="1" applyFont="1" applyFill="1" applyBorder="1"/>
    <xf numFmtId="44" fontId="6" fillId="0" borderId="0" xfId="0" applyNumberFormat="1" applyFont="1" applyFill="1"/>
    <xf numFmtId="42" fontId="8" fillId="40" borderId="9" xfId="1" applyNumberFormat="1" applyFont="1" applyFill="1" applyBorder="1" applyAlignment="1">
      <alignment horizontal="right"/>
    </xf>
    <xf numFmtId="0" fontId="6" fillId="0" borderId="12" xfId="0" applyFont="1" applyFill="1" applyBorder="1" applyAlignment="1">
      <alignment horizontal="center"/>
    </xf>
    <xf numFmtId="0" fontId="8" fillId="0" borderId="122" xfId="0" applyFont="1" applyFill="1" applyBorder="1"/>
    <xf numFmtId="42" fontId="8" fillId="40" borderId="123" xfId="0" applyNumberFormat="1" applyFont="1" applyFill="1" applyBorder="1"/>
    <xf numFmtId="170" fontId="8" fillId="33" borderId="14" xfId="0" applyNumberFormat="1" applyFont="1" applyFill="1" applyBorder="1" applyAlignment="1"/>
    <xf numFmtId="0" fontId="47" fillId="0" borderId="12" xfId="0" quotePrefix="1" applyNumberFormat="1" applyFont="1" applyFill="1" applyBorder="1" applyAlignment="1">
      <alignment horizontal="center" wrapText="1"/>
    </xf>
    <xf numFmtId="42" fontId="8" fillId="0" borderId="116" xfId="1" applyNumberFormat="1" applyFont="1" applyFill="1" applyBorder="1" applyAlignment="1">
      <alignment horizontal="right"/>
    </xf>
    <xf numFmtId="170" fontId="8" fillId="33" borderId="48" xfId="0" applyNumberFormat="1" applyFont="1" applyFill="1" applyBorder="1" applyAlignment="1">
      <alignment horizontal="center" wrapText="1"/>
    </xf>
    <xf numFmtId="42" fontId="8" fillId="0" borderId="115" xfId="0" applyNumberFormat="1" applyFont="1" applyFill="1" applyBorder="1"/>
    <xf numFmtId="0" fontId="8" fillId="0" borderId="0" xfId="0" applyFont="1" applyFill="1" applyBorder="1" applyAlignment="1">
      <alignment horizontal="center" wrapText="1"/>
    </xf>
    <xf numFmtId="0" fontId="0" fillId="0" borderId="2" xfId="0" applyBorder="1" applyAlignment="1">
      <alignment horizontal="center"/>
    </xf>
    <xf numFmtId="164" fontId="66" fillId="0" borderId="83" xfId="83" applyNumberFormat="1" applyFont="1" applyFill="1" applyBorder="1" applyAlignment="1" applyProtection="1">
      <alignment horizontal="center"/>
    </xf>
    <xf numFmtId="0" fontId="24" fillId="0" borderId="0" xfId="16" quotePrefix="1" applyFont="1" applyFill="1" applyBorder="1" applyAlignment="1">
      <alignment horizontal="center" wrapText="1"/>
    </xf>
    <xf numFmtId="0" fontId="8" fillId="7" borderId="0" xfId="67" applyFont="1" applyFill="1" applyBorder="1" applyAlignment="1">
      <alignment horizontal="center"/>
    </xf>
    <xf numFmtId="0" fontId="11" fillId="0" borderId="0" xfId="16" applyFont="1" applyAlignment="1">
      <alignment horizontal="left"/>
    </xf>
    <xf numFmtId="0" fontId="11" fillId="0" borderId="0" xfId="16" applyFont="1" applyAlignment="1">
      <alignment horizontal="center"/>
    </xf>
    <xf numFmtId="0" fontId="11" fillId="0" borderId="0" xfId="16" applyFont="1" applyAlignment="1">
      <alignment vertical="center"/>
    </xf>
    <xf numFmtId="0" fontId="10" fillId="0" borderId="15" xfId="16" applyFont="1" applyFill="1" applyBorder="1" applyAlignment="1">
      <alignment horizontal="center" wrapText="1"/>
    </xf>
    <xf numFmtId="0" fontId="10" fillId="0" borderId="16" xfId="16" applyFont="1" applyFill="1" applyBorder="1" applyAlignment="1">
      <alignment horizontal="center" wrapText="1"/>
    </xf>
    <xf numFmtId="0" fontId="11" fillId="0" borderId="0" xfId="16" quotePrefix="1" applyFont="1" applyFill="1" applyAlignment="1">
      <alignment horizontal="center" wrapText="1"/>
    </xf>
    <xf numFmtId="0" fontId="11" fillId="0" borderId="0" xfId="16" applyFont="1"/>
    <xf numFmtId="0" fontId="6" fillId="0" borderId="0" xfId="16" applyAlignment="1">
      <alignment vertical="center"/>
    </xf>
    <xf numFmtId="0" fontId="47" fillId="0" borderId="0" xfId="0" quotePrefix="1" applyNumberFormat="1" applyFont="1" applyAlignment="1">
      <alignment horizontal="center" wrapText="1"/>
    </xf>
    <xf numFmtId="0" fontId="0" fillId="0" borderId="0" xfId="0" quotePrefix="1" applyNumberFormat="1" applyBorder="1" applyAlignment="1">
      <alignment horizontal="center" wrapText="1"/>
    </xf>
    <xf numFmtId="0" fontId="0" fillId="0" borderId="19" xfId="0" quotePrefix="1" applyNumberFormat="1" applyBorder="1" applyAlignment="1">
      <alignment horizontal="center" wrapText="1"/>
    </xf>
    <xf numFmtId="2" fontId="47" fillId="0" borderId="0" xfId="0" quotePrefix="1" applyNumberFormat="1" applyFont="1" applyAlignment="1">
      <alignment horizontal="center" wrapText="1"/>
    </xf>
    <xf numFmtId="0" fontId="8" fillId="0" borderId="0" xfId="16" applyFont="1" applyBorder="1" applyAlignment="1">
      <alignment horizontal="center"/>
    </xf>
    <xf numFmtId="0" fontId="6" fillId="0" borderId="0" xfId="16" applyFill="1" applyAlignment="1">
      <alignment horizontal="center"/>
    </xf>
    <xf numFmtId="41" fontId="6" fillId="2" borderId="0" xfId="1" applyNumberFormat="1" applyFill="1" applyBorder="1"/>
    <xf numFmtId="43" fontId="6" fillId="7" borderId="0" xfId="1" applyFill="1"/>
    <xf numFmtId="171" fontId="6" fillId="7" borderId="0" xfId="1" applyNumberFormat="1" applyFill="1"/>
    <xf numFmtId="0" fontId="6" fillId="0" borderId="5" xfId="16" applyFont="1" applyBorder="1" applyAlignment="1">
      <alignment horizontal="center"/>
    </xf>
    <xf numFmtId="43" fontId="8" fillId="0" borderId="0" xfId="16" applyNumberFormat="1" applyFont="1" applyBorder="1"/>
    <xf numFmtId="0" fontId="6" fillId="0" borderId="13" xfId="16" applyFont="1" applyFill="1" applyBorder="1" applyAlignment="1">
      <alignment horizontal="center"/>
    </xf>
    <xf numFmtId="0" fontId="8" fillId="0" borderId="0" xfId="61" applyFont="1" applyFill="1" applyBorder="1" applyAlignment="1">
      <alignment wrapText="1"/>
    </xf>
    <xf numFmtId="0" fontId="6" fillId="0" borderId="0" xfId="61" applyFill="1" applyBorder="1" applyAlignment="1">
      <alignment wrapText="1"/>
    </xf>
    <xf numFmtId="43" fontId="6" fillId="4" borderId="0" xfId="16" applyNumberFormat="1" applyFill="1"/>
    <xf numFmtId="41" fontId="8" fillId="4" borderId="0" xfId="16" applyNumberFormat="1" applyFont="1" applyFill="1"/>
    <xf numFmtId="0" fontId="47" fillId="0" borderId="18" xfId="0" quotePrefix="1" applyNumberFormat="1" applyFont="1" applyFill="1" applyBorder="1" applyAlignment="1">
      <alignment horizontal="center" wrapText="1"/>
    </xf>
    <xf numFmtId="0" fontId="47" fillId="0" borderId="0" xfId="0" quotePrefix="1" applyNumberFormat="1" applyFont="1" applyFill="1" applyBorder="1" applyAlignment="1">
      <alignment horizontal="center" wrapText="1"/>
    </xf>
    <xf numFmtId="0" fontId="47" fillId="0" borderId="19" xfId="0" quotePrefix="1" applyNumberFormat="1" applyFont="1" applyFill="1" applyBorder="1" applyAlignment="1">
      <alignment horizontal="center" wrapText="1"/>
    </xf>
    <xf numFmtId="164" fontId="6" fillId="8" borderId="18" xfId="1" applyNumberFormat="1" applyFill="1" applyBorder="1"/>
    <xf numFmtId="164" fontId="6" fillId="8" borderId="0" xfId="1" applyNumberFormat="1" applyFill="1" applyBorder="1"/>
    <xf numFmtId="164" fontId="8" fillId="8" borderId="124" xfId="16" applyNumberFormat="1" applyFont="1" applyFill="1" applyBorder="1"/>
    <xf numFmtId="164" fontId="8" fillId="8" borderId="125" xfId="16" applyNumberFormat="1" applyFont="1" applyFill="1" applyBorder="1"/>
    <xf numFmtId="164" fontId="66" fillId="0" borderId="0" xfId="83" applyNumberFormat="1" applyFont="1" applyFill="1" applyBorder="1" applyAlignment="1" applyProtection="1">
      <alignment horizontal="center"/>
    </xf>
    <xf numFmtId="0" fontId="8" fillId="0" borderId="81" xfId="16" applyFont="1" applyBorder="1" applyAlignment="1">
      <alignment horizontal="center"/>
    </xf>
    <xf numFmtId="0" fontId="6" fillId="0" borderId="0" xfId="16" applyAlignment="1">
      <alignment horizontal="center" vertical="top"/>
    </xf>
    <xf numFmtId="0" fontId="8" fillId="0" borderId="85" xfId="16" applyFont="1" applyBorder="1" applyAlignment="1">
      <alignment horizontal="center"/>
    </xf>
    <xf numFmtId="0" fontId="6" fillId="0" borderId="85" xfId="16" applyBorder="1" applyAlignment="1">
      <alignment horizontal="center"/>
    </xf>
    <xf numFmtId="0" fontId="10" fillId="5" borderId="0" xfId="16" applyFont="1" applyFill="1" applyBorder="1" applyAlignment="1">
      <alignment vertical="top" wrapText="1"/>
    </xf>
    <xf numFmtId="0" fontId="64" fillId="0" borderId="0" xfId="82" applyBorder="1" applyAlignment="1" applyProtection="1">
      <alignment horizontal="center" vertical="top" wrapText="1"/>
    </xf>
    <xf numFmtId="0" fontId="64" fillId="0" borderId="85" xfId="82" applyBorder="1" applyAlignment="1" applyProtection="1">
      <alignment horizontal="center" vertical="top" wrapText="1"/>
    </xf>
    <xf numFmtId="0" fontId="64" fillId="0" borderId="0" xfId="82" applyAlignment="1" applyProtection="1">
      <alignment horizontal="center" vertical="top"/>
    </xf>
    <xf numFmtId="0" fontId="6" fillId="0" borderId="0" xfId="16" applyFont="1" applyAlignment="1">
      <alignment horizontal="center"/>
    </xf>
    <xf numFmtId="0" fontId="64" fillId="0" borderId="0" xfId="82" applyBorder="1" applyAlignment="1" applyProtection="1">
      <alignment vertical="top" wrapText="1"/>
    </xf>
    <xf numFmtId="0" fontId="11" fillId="0" borderId="85" xfId="16" applyFont="1" applyBorder="1" applyAlignment="1">
      <alignment horizontal="center" vertical="top" wrapText="1"/>
    </xf>
    <xf numFmtId="0" fontId="10" fillId="0" borderId="0" xfId="16" applyFont="1" applyBorder="1" applyAlignment="1">
      <alignment vertical="top" wrapText="1"/>
    </xf>
    <xf numFmtId="0" fontId="10" fillId="0" borderId="0" xfId="16" applyFont="1" applyBorder="1" applyAlignment="1">
      <alignment horizontal="center" vertical="top" wrapText="1"/>
    </xf>
    <xf numFmtId="0" fontId="10" fillId="0" borderId="85" xfId="16" applyFont="1" applyBorder="1" applyAlignment="1">
      <alignment horizontal="center" vertical="top" wrapText="1"/>
    </xf>
    <xf numFmtId="0" fontId="64" fillId="0" borderId="0" xfId="82" applyAlignment="1" applyProtection="1">
      <alignment horizontal="center"/>
    </xf>
    <xf numFmtId="0" fontId="64" fillId="0" borderId="85" xfId="82" applyBorder="1" applyAlignment="1" applyProtection="1">
      <alignment horizontal="center" wrapText="1"/>
    </xf>
    <xf numFmtId="0" fontId="64" fillId="0" borderId="0" xfId="82" applyBorder="1" applyAlignment="1" applyProtection="1">
      <alignment horizontal="center" wrapText="1"/>
    </xf>
    <xf numFmtId="0" fontId="10" fillId="0" borderId="0" xfId="16" applyFont="1" applyFill="1" applyBorder="1" applyAlignment="1">
      <alignment vertical="top" wrapText="1"/>
    </xf>
    <xf numFmtId="0" fontId="66" fillId="0" borderId="0" xfId="83" applyBorder="1" applyAlignment="1" applyProtection="1">
      <alignment vertical="top" wrapText="1"/>
    </xf>
    <xf numFmtId="0" fontId="11" fillId="0" borderId="0" xfId="16" applyFont="1" applyBorder="1" applyAlignment="1">
      <alignment horizontal="center" wrapText="1"/>
    </xf>
    <xf numFmtId="0" fontId="64" fillId="0" borderId="82" xfId="82" applyBorder="1" applyAlignment="1" applyProtection="1">
      <alignment horizontal="center" wrapText="1"/>
    </xf>
    <xf numFmtId="0" fontId="6" fillId="37" borderId="0" xfId="0" applyFont="1" applyFill="1" applyAlignment="1"/>
    <xf numFmtId="0" fontId="0" fillId="37" borderId="0" xfId="0" applyFill="1" applyAlignment="1"/>
    <xf numFmtId="0" fontId="68" fillId="0" borderId="0" xfId="85" applyFont="1"/>
    <xf numFmtId="2" fontId="68" fillId="0" borderId="0" xfId="85" applyNumberFormat="1" applyFont="1"/>
    <xf numFmtId="2" fontId="5" fillId="0" borderId="0" xfId="85" applyNumberFormat="1"/>
    <xf numFmtId="0" fontId="5" fillId="0" borderId="0" xfId="85"/>
    <xf numFmtId="2" fontId="67" fillId="0" borderId="0" xfId="85" applyNumberFormat="1" applyFont="1"/>
    <xf numFmtId="0" fontId="67" fillId="0" borderId="0" xfId="85" applyFont="1"/>
    <xf numFmtId="0" fontId="6" fillId="0" borderId="6" xfId="0" applyFont="1" applyBorder="1" applyAlignment="1"/>
    <xf numFmtId="0" fontId="0" fillId="0" borderId="2" xfId="0" applyBorder="1" applyAlignment="1"/>
    <xf numFmtId="0" fontId="0" fillId="0" borderId="7" xfId="0" applyBorder="1" applyAlignment="1"/>
    <xf numFmtId="0" fontId="45" fillId="0" borderId="6" xfId="0" applyFont="1" applyBorder="1" applyAlignment="1">
      <alignment horizontal="center" wrapText="1"/>
    </xf>
    <xf numFmtId="0" fontId="8" fillId="37" borderId="2" xfId="0" applyNumberFormat="1" applyFont="1" applyFill="1" applyBorder="1" applyAlignment="1">
      <alignment horizontal="center" wrapText="1"/>
    </xf>
    <xf numFmtId="0" fontId="68" fillId="0" borderId="7" xfId="85" applyFont="1" applyBorder="1"/>
    <xf numFmtId="4" fontId="0" fillId="41" borderId="0" xfId="0" applyNumberFormat="1" applyFill="1"/>
    <xf numFmtId="0" fontId="6" fillId="0" borderId="0" xfId="76" applyFont="1" applyAlignment="1">
      <alignment horizontal="center"/>
    </xf>
    <xf numFmtId="41" fontId="6" fillId="2" borderId="125" xfId="1" applyNumberFormat="1" applyFont="1" applyFill="1" applyBorder="1"/>
    <xf numFmtId="42" fontId="6" fillId="0" borderId="0" xfId="0" applyNumberFormat="1" applyFont="1" applyFill="1" applyAlignment="1"/>
    <xf numFmtId="0" fontId="8" fillId="0" borderId="112" xfId="0" quotePrefix="1" applyFont="1" applyFill="1" applyBorder="1" applyAlignment="1">
      <alignment horizontal="left"/>
    </xf>
    <xf numFmtId="42" fontId="8" fillId="0" borderId="129" xfId="1" applyNumberFormat="1" applyFont="1" applyFill="1" applyBorder="1" applyAlignment="1">
      <alignment horizontal="right"/>
    </xf>
    <xf numFmtId="164" fontId="6" fillId="0" borderId="0" xfId="0" applyNumberFormat="1" applyFont="1" applyFill="1" applyBorder="1" applyAlignment="1"/>
    <xf numFmtId="0" fontId="6" fillId="0" borderId="108" xfId="0" applyFont="1" applyFill="1" applyBorder="1" applyAlignment="1"/>
    <xf numFmtId="4" fontId="6" fillId="0" borderId="14" xfId="1" applyNumberFormat="1" applyFont="1" applyFill="1" applyBorder="1" applyAlignment="1">
      <alignment horizontal="center"/>
    </xf>
    <xf numFmtId="164" fontId="6" fillId="0" borderId="0" xfId="1" applyNumberFormat="1" applyFont="1" applyFill="1" applyBorder="1"/>
    <xf numFmtId="0" fontId="6" fillId="0" borderId="18" xfId="0" quotePrefix="1" applyNumberFormat="1" applyFont="1" applyBorder="1" applyAlignment="1">
      <alignment horizontal="center" wrapText="1"/>
    </xf>
    <xf numFmtId="171" fontId="6" fillId="2" borderId="124" xfId="1" applyNumberFormat="1" applyFont="1" applyFill="1" applyBorder="1"/>
    <xf numFmtId="0" fontId="8" fillId="0" borderId="0" xfId="0" applyFont="1" applyFill="1" applyBorder="1" applyAlignment="1">
      <alignment horizontal="center" wrapText="1"/>
    </xf>
    <xf numFmtId="164" fontId="6" fillId="0" borderId="130" xfId="1" applyNumberFormat="1" applyFont="1" applyFill="1" applyBorder="1"/>
    <xf numFmtId="0" fontId="6" fillId="0" borderId="109" xfId="0" applyFont="1" applyFill="1" applyBorder="1" applyAlignment="1"/>
    <xf numFmtId="0" fontId="8" fillId="0" borderId="112" xfId="0" applyFont="1" applyFill="1" applyBorder="1" applyAlignment="1"/>
    <xf numFmtId="41" fontId="6" fillId="0" borderId="0" xfId="1" applyNumberFormat="1" applyFill="1" applyBorder="1"/>
    <xf numFmtId="41" fontId="6" fillId="0" borderId="125" xfId="1" applyNumberFormat="1" applyFont="1" applyFill="1" applyBorder="1"/>
    <xf numFmtId="164" fontId="8" fillId="0" borderId="0" xfId="0" quotePrefix="1" applyNumberFormat="1" applyFont="1" applyFill="1" applyBorder="1" applyAlignment="1"/>
    <xf numFmtId="164" fontId="8" fillId="0" borderId="3" xfId="0" applyNumberFormat="1" applyFont="1" applyFill="1" applyBorder="1" applyAlignment="1"/>
    <xf numFmtId="170" fontId="8" fillId="0" borderId="14" xfId="0" applyNumberFormat="1" applyFont="1" applyFill="1" applyBorder="1"/>
    <xf numFmtId="170" fontId="8" fillId="0" borderId="14" xfId="0" applyNumberFormat="1" applyFont="1" applyFill="1" applyBorder="1" applyAlignment="1"/>
    <xf numFmtId="164" fontId="8" fillId="0" borderId="0" xfId="0" quotePrefix="1" applyNumberFormat="1" applyFont="1" applyFill="1" applyBorder="1" applyAlignment="1">
      <alignment horizontal="center"/>
    </xf>
    <xf numFmtId="164" fontId="8" fillId="0" borderId="62" xfId="0" quotePrefix="1" applyNumberFormat="1" applyFont="1" applyFill="1" applyBorder="1" applyAlignment="1"/>
    <xf numFmtId="164" fontId="8" fillId="0" borderId="65" xfId="0" applyNumberFormat="1" applyFont="1" applyFill="1" applyBorder="1" applyAlignment="1"/>
    <xf numFmtId="0" fontId="47" fillId="0" borderId="0" xfId="16" applyFont="1" applyFill="1" applyBorder="1" applyAlignment="1">
      <alignment horizontal="center"/>
    </xf>
    <xf numFmtId="42" fontId="6" fillId="0" borderId="0" xfId="16" applyNumberFormat="1" applyBorder="1" applyAlignment="1">
      <alignment horizontal="center"/>
    </xf>
    <xf numFmtId="15" fontId="8" fillId="4" borderId="0" xfId="16" applyNumberFormat="1" applyFont="1" applyFill="1" applyAlignment="1">
      <alignment horizontal="center"/>
    </xf>
    <xf numFmtId="172" fontId="6" fillId="4" borderId="0" xfId="16" applyNumberFormat="1" applyFont="1" applyFill="1" applyAlignment="1">
      <alignment horizontal="center"/>
    </xf>
    <xf numFmtId="172" fontId="6" fillId="0" borderId="5" xfId="16" applyNumberFormat="1" applyBorder="1" applyAlignment="1">
      <alignment horizontal="center"/>
    </xf>
    <xf numFmtId="171" fontId="8" fillId="4" borderId="0" xfId="16" applyNumberFormat="1" applyFont="1" applyFill="1"/>
    <xf numFmtId="42" fontId="8" fillId="0" borderId="2" xfId="0" applyNumberFormat="1" applyFont="1" applyFill="1" applyBorder="1"/>
    <xf numFmtId="41" fontId="6" fillId="0" borderId="0" xfId="1" applyNumberFormat="1" applyFont="1" applyFill="1" applyAlignment="1">
      <alignment horizontal="right"/>
    </xf>
    <xf numFmtId="0" fontId="8" fillId="0" borderId="0" xfId="16" applyFont="1" applyAlignment="1">
      <alignment horizontal="center"/>
    </xf>
    <xf numFmtId="0" fontId="6" fillId="0" borderId="12" xfId="16" applyBorder="1" applyAlignment="1">
      <alignment horizontal="center"/>
    </xf>
    <xf numFmtId="0" fontId="6" fillId="0" borderId="14" xfId="16" applyBorder="1"/>
    <xf numFmtId="41" fontId="6" fillId="0" borderId="125" xfId="16" applyNumberFormat="1" applyBorder="1"/>
    <xf numFmtId="0" fontId="6" fillId="0" borderId="3" xfId="16" applyBorder="1" applyAlignment="1">
      <alignment horizontal="center" wrapText="1"/>
    </xf>
    <xf numFmtId="0" fontId="10" fillId="0" borderId="0" xfId="16" applyFont="1" applyBorder="1" applyAlignment="1">
      <alignment horizontal="center"/>
    </xf>
    <xf numFmtId="0" fontId="8" fillId="0" borderId="0" xfId="0" applyFont="1"/>
    <xf numFmtId="0" fontId="6" fillId="0" borderId="0" xfId="66" applyAlignment="1"/>
    <xf numFmtId="172" fontId="6" fillId="0" borderId="0" xfId="77" applyNumberFormat="1" applyFont="1"/>
    <xf numFmtId="172" fontId="6" fillId="0" borderId="0" xfId="66" applyNumberFormat="1" applyFont="1"/>
    <xf numFmtId="0" fontId="8" fillId="0" borderId="0" xfId="66" applyFont="1" applyAlignment="1">
      <alignment horizontal="center" wrapText="1"/>
    </xf>
    <xf numFmtId="43" fontId="6" fillId="0" borderId="0" xfId="76" applyNumberFormat="1" applyFont="1"/>
    <xf numFmtId="0" fontId="11" fillId="0" borderId="0" xfId="0" applyFont="1" applyAlignment="1"/>
    <xf numFmtId="43" fontId="6" fillId="0" borderId="0" xfId="1" applyNumberFormat="1" applyFont="1" applyFill="1" applyAlignment="1">
      <alignment horizontal="center"/>
    </xf>
    <xf numFmtId="41" fontId="6" fillId="2" borderId="0" xfId="1" applyNumberFormat="1" applyFont="1" applyFill="1"/>
    <xf numFmtId="173" fontId="8" fillId="2" borderId="5" xfId="1" applyNumberFormat="1" applyFont="1" applyFill="1" applyBorder="1"/>
    <xf numFmtId="173" fontId="6" fillId="4" borderId="0" xfId="16" applyNumberFormat="1" applyFill="1"/>
    <xf numFmtId="164" fontId="6" fillId="4" borderId="0" xfId="16" applyNumberFormat="1" applyFill="1"/>
    <xf numFmtId="0" fontId="10" fillId="0" borderId="0" xfId="16" applyFont="1" applyFill="1"/>
    <xf numFmtId="0" fontId="6" fillId="0" borderId="12" xfId="16" applyFont="1" applyFill="1" applyBorder="1" applyAlignment="1">
      <alignment horizontal="center"/>
    </xf>
    <xf numFmtId="0" fontId="6" fillId="0" borderId="14" xfId="16" applyFont="1" applyFill="1" applyBorder="1" applyAlignment="1">
      <alignment horizontal="center"/>
    </xf>
    <xf numFmtId="3" fontId="6" fillId="0" borderId="0" xfId="16" applyNumberFormat="1" applyFont="1" applyFill="1"/>
    <xf numFmtId="3" fontId="6" fillId="0" borderId="3" xfId="16" applyNumberFormat="1" applyFont="1" applyFill="1" applyBorder="1"/>
    <xf numFmtId="37" fontId="64" fillId="4" borderId="0" xfId="82" applyNumberFormat="1" applyFill="1"/>
    <xf numFmtId="0" fontId="6" fillId="0" borderId="0" xfId="16" applyBorder="1" applyAlignment="1">
      <alignment wrapText="1"/>
    </xf>
    <xf numFmtId="0" fontId="6" fillId="0" borderId="0" xfId="16" applyBorder="1" applyAlignment="1">
      <alignment horizontal="right"/>
    </xf>
    <xf numFmtId="0" fontId="6" fillId="0" borderId="0" xfId="16" applyBorder="1" applyAlignment="1"/>
    <xf numFmtId="0" fontId="6" fillId="8" borderId="0" xfId="16" applyFill="1" applyBorder="1" applyAlignment="1">
      <alignment wrapText="1"/>
    </xf>
    <xf numFmtId="0" fontId="6" fillId="0" borderId="14" xfId="16" applyFont="1" applyFill="1" applyBorder="1" applyAlignment="1">
      <alignment horizontal="center" wrapText="1"/>
    </xf>
    <xf numFmtId="0" fontId="11" fillId="5" borderId="0" xfId="16" applyFont="1" applyFill="1" applyBorder="1" applyAlignment="1">
      <alignment horizontal="center" vertical="top" wrapText="1"/>
    </xf>
    <xf numFmtId="0" fontId="11" fillId="5" borderId="0" xfId="16" applyFont="1" applyFill="1" applyBorder="1" applyAlignment="1">
      <alignment vertical="top" wrapText="1"/>
    </xf>
    <xf numFmtId="42" fontId="6" fillId="7" borderId="0" xfId="16" applyNumberFormat="1" applyFill="1" applyBorder="1"/>
    <xf numFmtId="42" fontId="11" fillId="0" borderId="0" xfId="16" applyNumberFormat="1" applyFont="1" applyFill="1" applyBorder="1" applyAlignment="1">
      <alignment horizontal="center" vertical="top" wrapText="1"/>
    </xf>
    <xf numFmtId="0" fontId="11" fillId="7" borderId="0" xfId="16" applyFont="1" applyFill="1" applyBorder="1" applyAlignment="1">
      <alignment vertical="top" wrapText="1"/>
    </xf>
    <xf numFmtId="42" fontId="6" fillId="0" borderId="0" xfId="16" applyNumberFormat="1" applyFill="1" applyBorder="1"/>
    <xf numFmtId="42" fontId="6" fillId="0" borderId="0" xfId="16" applyNumberFormat="1" applyFill="1" applyBorder="1" applyAlignment="1">
      <alignment horizontal="center"/>
    </xf>
    <xf numFmtId="0" fontId="10" fillId="7" borderId="0" xfId="16" applyFont="1" applyFill="1" applyBorder="1" applyAlignment="1">
      <alignment vertical="top" wrapText="1"/>
    </xf>
    <xf numFmtId="37" fontId="6" fillId="0" borderId="0" xfId="16" applyNumberFormat="1" applyFill="1" applyBorder="1"/>
    <xf numFmtId="42" fontId="6" fillId="0" borderId="3" xfId="16" applyNumberFormat="1" applyBorder="1"/>
    <xf numFmtId="0" fontId="6" fillId="0" borderId="3" xfId="16" applyBorder="1" applyAlignment="1">
      <alignment wrapText="1"/>
    </xf>
    <xf numFmtId="0" fontId="6" fillId="0" borderId="0" xfId="16" applyFont="1" applyBorder="1"/>
    <xf numFmtId="42" fontId="6" fillId="0" borderId="0" xfId="16" applyNumberFormat="1" applyBorder="1"/>
    <xf numFmtId="0" fontId="6" fillId="0" borderId="0" xfId="16" applyNumberFormat="1" applyBorder="1" applyAlignment="1">
      <alignment horizontal="center"/>
    </xf>
    <xf numFmtId="14" fontId="6" fillId="0" borderId="0" xfId="16" applyNumberFormat="1" applyBorder="1"/>
    <xf numFmtId="172" fontId="6" fillId="0" borderId="0" xfId="67" applyNumberFormat="1" applyAlignment="1">
      <alignment horizontal="center"/>
    </xf>
    <xf numFmtId="37" fontId="6" fillId="0" borderId="0" xfId="0" applyNumberFormat="1" applyFont="1" applyAlignment="1">
      <alignment horizontal="center"/>
    </xf>
    <xf numFmtId="0" fontId="6" fillId="0" borderId="0" xfId="88"/>
    <xf numFmtId="0" fontId="6" fillId="0" borderId="0" xfId="88" applyAlignment="1">
      <alignment horizontal="center" wrapText="1"/>
    </xf>
    <xf numFmtId="0" fontId="6" fillId="0" borderId="0" xfId="88" applyBorder="1" applyAlignment="1">
      <alignment horizontal="center" wrapText="1"/>
    </xf>
    <xf numFmtId="41" fontId="0" fillId="0" borderId="3" xfId="0" applyNumberFormat="1" applyBorder="1"/>
    <xf numFmtId="41" fontId="8" fillId="0" borderId="125" xfId="0" applyNumberFormat="1" applyFont="1" applyBorder="1"/>
    <xf numFmtId="172" fontId="6" fillId="4" borderId="0" xfId="16" applyNumberFormat="1" applyFont="1" applyFill="1" applyBorder="1" applyAlignment="1">
      <alignment horizontal="center"/>
    </xf>
    <xf numFmtId="41" fontId="47" fillId="33" borderId="134" xfId="89" applyNumberFormat="1" applyFont="1" applyFill="1" applyBorder="1"/>
    <xf numFmtId="172" fontId="0" fillId="0" borderId="0" xfId="0" applyNumberFormat="1"/>
    <xf numFmtId="41" fontId="6" fillId="7" borderId="0" xfId="16" applyNumberFormat="1" applyFont="1" applyFill="1"/>
    <xf numFmtId="0" fontId="6" fillId="36" borderId="12" xfId="16" applyFill="1" applyBorder="1" applyAlignment="1">
      <alignment horizontal="center"/>
    </xf>
    <xf numFmtId="14" fontId="6" fillId="36" borderId="14" xfId="16" applyNumberFormat="1" applyFill="1" applyBorder="1" applyAlignment="1">
      <alignment horizontal="center"/>
    </xf>
    <xf numFmtId="14" fontId="68" fillId="42" borderId="0" xfId="85" applyNumberFormat="1" applyFont="1" applyFill="1"/>
    <xf numFmtId="4" fontId="68" fillId="0" borderId="0" xfId="85" applyNumberFormat="1" applyFont="1"/>
    <xf numFmtId="42" fontId="6" fillId="0" borderId="0" xfId="16" applyNumberFormat="1" applyFont="1" applyFill="1" applyAlignment="1">
      <alignment horizontal="center"/>
    </xf>
    <xf numFmtId="0" fontId="56" fillId="0" borderId="0" xfId="0" applyFont="1" applyAlignment="1">
      <alignment horizontal="left"/>
    </xf>
    <xf numFmtId="0" fontId="6" fillId="0" borderId="13" xfId="0" applyFont="1" applyBorder="1" applyAlignment="1">
      <alignment horizontal="center"/>
    </xf>
    <xf numFmtId="0" fontId="6" fillId="0" borderId="13"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3" fontId="6" fillId="7" borderId="0" xfId="1" applyNumberFormat="1" applyFill="1"/>
    <xf numFmtId="43" fontId="8" fillId="0" borderId="5" xfId="16" applyNumberFormat="1" applyFont="1" applyBorder="1"/>
    <xf numFmtId="2" fontId="6" fillId="4" borderId="0" xfId="16" applyNumberFormat="1" applyFill="1"/>
    <xf numFmtId="0" fontId="8" fillId="4" borderId="0" xfId="61" applyFont="1" applyFill="1" applyBorder="1" applyAlignment="1">
      <alignment wrapText="1"/>
    </xf>
    <xf numFmtId="0" fontId="6" fillId="40" borderId="0" xfId="61" applyFill="1" applyBorder="1" applyAlignment="1">
      <alignment wrapText="1"/>
    </xf>
    <xf numFmtId="0" fontId="8" fillId="4" borderId="13" xfId="61" applyFont="1" applyFill="1" applyBorder="1" applyAlignment="1">
      <alignment horizontal="center" wrapText="1"/>
    </xf>
    <xf numFmtId="0" fontId="6" fillId="40" borderId="13" xfId="61" applyFill="1" applyBorder="1" applyAlignment="1">
      <alignment horizontal="center" wrapText="1"/>
    </xf>
    <xf numFmtId="171" fontId="6" fillId="4" borderId="0" xfId="16" applyNumberFormat="1" applyFill="1"/>
    <xf numFmtId="171" fontId="6" fillId="4" borderId="0" xfId="16" applyNumberFormat="1" applyFill="1" applyAlignment="1">
      <alignment horizontal="center"/>
    </xf>
    <xf numFmtId="4" fontId="0" fillId="0" borderId="0" xfId="0" applyNumberFormat="1" applyFill="1" applyBorder="1" applyAlignment="1">
      <alignment horizontal="center"/>
    </xf>
    <xf numFmtId="4" fontId="0" fillId="0" borderId="3" xfId="0" applyNumberFormat="1" applyFill="1" applyBorder="1" applyAlignment="1">
      <alignment horizontal="center"/>
    </xf>
    <xf numFmtId="4" fontId="6" fillId="0" borderId="18" xfId="66" applyNumberFormat="1" applyBorder="1"/>
    <xf numFmtId="4" fontId="0" fillId="0" borderId="19" xfId="0" applyNumberFormat="1" applyFill="1" applyBorder="1" applyAlignment="1">
      <alignment horizontal="center"/>
    </xf>
    <xf numFmtId="4" fontId="0" fillId="5" borderId="19" xfId="0" applyNumberFormat="1" applyFill="1" applyBorder="1"/>
    <xf numFmtId="4" fontId="0" fillId="0" borderId="21" xfId="0" applyNumberFormat="1" applyFill="1" applyBorder="1" applyAlignment="1">
      <alignment horizontal="center"/>
    </xf>
    <xf numFmtId="4" fontId="6" fillId="0" borderId="22" xfId="76" applyNumberFormat="1" applyFont="1" applyBorder="1"/>
    <xf numFmtId="4" fontId="6" fillId="0" borderId="23" xfId="76" applyNumberFormat="1" applyFont="1" applyBorder="1"/>
    <xf numFmtId="4" fontId="6" fillId="0" borderId="24" xfId="76" applyNumberFormat="1" applyFont="1" applyBorder="1"/>
    <xf numFmtId="0" fontId="60" fillId="0" borderId="0" xfId="0" applyFont="1" applyBorder="1" applyAlignment="1">
      <alignment horizontal="center" wrapText="1"/>
    </xf>
    <xf numFmtId="4" fontId="6" fillId="0" borderId="15" xfId="66" applyNumberFormat="1" applyBorder="1"/>
    <xf numFmtId="4" fontId="0" fillId="5" borderId="16" xfId="0" applyNumberFormat="1" applyFill="1" applyBorder="1"/>
    <xf numFmtId="4" fontId="0" fillId="0" borderId="16" xfId="0" applyNumberFormat="1" applyFill="1" applyBorder="1" applyAlignment="1">
      <alignment horizontal="center"/>
    </xf>
    <xf numFmtId="4" fontId="0" fillId="0" borderId="17" xfId="0" applyNumberFormat="1" applyFill="1" applyBorder="1" applyAlignment="1">
      <alignment horizontal="center"/>
    </xf>
    <xf numFmtId="0" fontId="6" fillId="0" borderId="121" xfId="0" applyFont="1" applyBorder="1"/>
    <xf numFmtId="0" fontId="6" fillId="0" borderId="113" xfId="0" applyFont="1" applyBorder="1"/>
    <xf numFmtId="0" fontId="6" fillId="0" borderId="84" xfId="0" applyFont="1" applyBorder="1"/>
    <xf numFmtId="2" fontId="6" fillId="0" borderId="0" xfId="76" applyNumberFormat="1" applyFont="1"/>
    <xf numFmtId="0" fontId="73" fillId="0" borderId="0" xfId="85" applyFont="1"/>
    <xf numFmtId="4" fontId="8" fillId="0" borderId="0" xfId="0" applyNumberFormat="1" applyFont="1" applyFill="1" applyBorder="1" applyAlignment="1">
      <alignment wrapText="1"/>
    </xf>
    <xf numFmtId="0" fontId="6" fillId="0" borderId="0" xfId="76" applyFont="1" applyFill="1" applyBorder="1"/>
    <xf numFmtId="4" fontId="6" fillId="0" borderId="0" xfId="76" applyNumberFormat="1" applyFont="1" applyFill="1" applyBorder="1"/>
    <xf numFmtId="0" fontId="68" fillId="0" borderId="0" xfId="85" applyFont="1" applyFill="1" applyBorder="1"/>
    <xf numFmtId="4" fontId="68" fillId="0" borderId="0" xfId="85" applyNumberFormat="1" applyFont="1" applyFill="1" applyBorder="1"/>
    <xf numFmtId="0" fontId="5" fillId="0" borderId="0" xfId="85" applyFill="1" applyBorder="1"/>
    <xf numFmtId="0" fontId="67" fillId="0" borderId="0" xfId="85" applyFont="1" applyFill="1" applyBorder="1"/>
    <xf numFmtId="0" fontId="4" fillId="0" borderId="0" xfId="85" applyFont="1"/>
    <xf numFmtId="0" fontId="14" fillId="8" borderId="0" xfId="16" applyFont="1" applyFill="1" applyBorder="1"/>
    <xf numFmtId="0" fontId="14" fillId="8" borderId="0" xfId="0" applyFont="1" applyFill="1" applyBorder="1"/>
    <xf numFmtId="42" fontId="19" fillId="5" borderId="0" xfId="16" applyNumberFormat="1" applyFont="1" applyFill="1" applyBorder="1"/>
    <xf numFmtId="0" fontId="6" fillId="5" borderId="0" xfId="0" applyFont="1" applyFill="1"/>
    <xf numFmtId="37" fontId="14" fillId="8" borderId="0" xfId="16" applyNumberFormat="1" applyFont="1" applyFill="1" applyBorder="1"/>
    <xf numFmtId="0" fontId="14" fillId="8" borderId="0" xfId="16" quotePrefix="1" applyFont="1" applyFill="1" applyBorder="1" applyAlignment="1">
      <alignment horizontal="left"/>
    </xf>
    <xf numFmtId="0" fontId="14" fillId="0" borderId="0" xfId="16" applyFont="1" applyBorder="1" applyAlignment="1">
      <alignment horizontal="center"/>
    </xf>
    <xf numFmtId="0" fontId="8" fillId="0" borderId="0" xfId="0" applyFont="1" applyFill="1" applyBorder="1" applyAlignment="1">
      <alignment horizontal="center" wrapText="1"/>
    </xf>
    <xf numFmtId="0" fontId="14" fillId="0" borderId="0" xfId="16" applyFont="1" applyBorder="1" applyAlignment="1">
      <alignment horizontal="center"/>
    </xf>
    <xf numFmtId="0" fontId="8" fillId="0" borderId="0" xfId="0" applyFont="1" applyFill="1" applyBorder="1" applyAlignment="1">
      <alignment horizontal="center" wrapText="1"/>
    </xf>
    <xf numFmtId="42" fontId="6" fillId="7" borderId="64" xfId="16" applyNumberFormat="1" applyFill="1" applyBorder="1"/>
    <xf numFmtId="0" fontId="45" fillId="0" borderId="41" xfId="16" applyFont="1" applyFill="1" applyBorder="1" applyAlignment="1">
      <alignment horizontal="center"/>
    </xf>
    <xf numFmtId="0" fontId="10" fillId="0" borderId="65" xfId="16" applyFont="1" applyBorder="1" applyAlignment="1">
      <alignment vertical="top" wrapText="1"/>
    </xf>
    <xf numFmtId="0" fontId="10" fillId="0" borderId="3" xfId="16" applyFont="1" applyBorder="1" applyAlignment="1">
      <alignment horizontal="center" vertical="top" wrapText="1"/>
    </xf>
    <xf numFmtId="0" fontId="10" fillId="0" borderId="3" xfId="16" applyFont="1" applyBorder="1" applyAlignment="1">
      <alignment vertical="top" wrapText="1"/>
    </xf>
    <xf numFmtId="42" fontId="6" fillId="7" borderId="3" xfId="16" applyNumberFormat="1" applyFill="1" applyBorder="1"/>
    <xf numFmtId="42" fontId="11" fillId="0" borderId="3" xfId="16" applyNumberFormat="1" applyFont="1" applyFill="1" applyBorder="1" applyAlignment="1">
      <alignment horizontal="center" vertical="top" wrapText="1"/>
    </xf>
    <xf numFmtId="0" fontId="45" fillId="0" borderId="48" xfId="16" applyFont="1" applyFill="1" applyBorder="1" applyAlignment="1">
      <alignment horizontal="center"/>
    </xf>
    <xf numFmtId="0" fontId="10" fillId="0" borderId="63" xfId="16" applyFont="1" applyBorder="1" applyAlignment="1">
      <alignment vertical="top" wrapText="1"/>
    </xf>
    <xf numFmtId="0" fontId="10" fillId="0" borderId="64" xfId="16" applyFont="1" applyBorder="1" applyAlignment="1">
      <alignment horizontal="center" vertical="top" wrapText="1"/>
    </xf>
    <xf numFmtId="0" fontId="10" fillId="0" borderId="64" xfId="16" applyFont="1" applyBorder="1" applyAlignment="1">
      <alignment vertical="top" wrapText="1"/>
    </xf>
    <xf numFmtId="0" fontId="45" fillId="0" borderId="52" xfId="16" applyFont="1" applyFill="1" applyBorder="1" applyAlignment="1">
      <alignment horizontal="center"/>
    </xf>
    <xf numFmtId="42" fontId="8" fillId="7" borderId="3" xfId="16" applyNumberFormat="1" applyFont="1" applyFill="1" applyBorder="1" applyAlignment="1">
      <alignment horizontal="center"/>
    </xf>
    <xf numFmtId="0" fontId="45" fillId="0" borderId="0" xfId="16" applyFont="1" applyFill="1" applyBorder="1" applyAlignment="1">
      <alignment horizontal="center"/>
    </xf>
    <xf numFmtId="0" fontId="11" fillId="0" borderId="0" xfId="16" applyFont="1" applyBorder="1" applyAlignment="1">
      <alignment wrapText="1"/>
    </xf>
    <xf numFmtId="38" fontId="6" fillId="4" borderId="0" xfId="16" applyNumberFormat="1" applyFont="1" applyFill="1" applyBorder="1" applyAlignment="1"/>
    <xf numFmtId="0" fontId="6" fillId="0" borderId="63" xfId="16" applyBorder="1"/>
    <xf numFmtId="0" fontId="10" fillId="0" borderId="62" xfId="16" applyFont="1" applyBorder="1" applyAlignment="1">
      <alignment vertical="top"/>
    </xf>
    <xf numFmtId="37" fontId="6" fillId="0" borderId="0" xfId="0" applyNumberFormat="1" applyFont="1" applyFill="1"/>
    <xf numFmtId="0" fontId="6" fillId="0" borderId="0" xfId="66" applyFill="1"/>
    <xf numFmtId="172" fontId="6" fillId="0" borderId="0" xfId="66" applyNumberFormat="1" applyFont="1" applyFill="1"/>
    <xf numFmtId="0" fontId="6" fillId="0" borderId="0" xfId="76" applyFont="1" applyFill="1" applyAlignment="1">
      <alignment horizontal="center"/>
    </xf>
    <xf numFmtId="0" fontId="68" fillId="0" borderId="0" xfId="85" applyFont="1" applyFill="1"/>
    <xf numFmtId="0" fontId="6" fillId="0" borderId="0" xfId="77" applyFont="1" applyFill="1"/>
    <xf numFmtId="4" fontId="0" fillId="36" borderId="0" xfId="0" applyNumberFormat="1" applyFill="1" applyBorder="1"/>
    <xf numFmtId="172" fontId="6" fillId="0" borderId="0" xfId="66" applyNumberFormat="1" applyFont="1" applyBorder="1"/>
    <xf numFmtId="4" fontId="6" fillId="0" borderId="18" xfId="76" applyNumberFormat="1" applyFont="1" applyBorder="1"/>
    <xf numFmtId="4" fontId="6" fillId="0" borderId="0" xfId="76" applyNumberFormat="1" applyFont="1" applyBorder="1"/>
    <xf numFmtId="0" fontId="6" fillId="0" borderId="0" xfId="76" applyFont="1" applyBorder="1" applyAlignment="1">
      <alignment horizontal="center"/>
    </xf>
    <xf numFmtId="0" fontId="68" fillId="0" borderId="0" xfId="85" applyFont="1" applyBorder="1"/>
    <xf numFmtId="0" fontId="6" fillId="0" borderId="0" xfId="77" applyFont="1" applyBorder="1"/>
    <xf numFmtId="4" fontId="6" fillId="0" borderId="20" xfId="66" applyNumberFormat="1" applyBorder="1"/>
    <xf numFmtId="4" fontId="6" fillId="0" borderId="3" xfId="76" applyNumberFormat="1" applyFont="1" applyBorder="1"/>
    <xf numFmtId="49" fontId="6" fillId="0" borderId="0" xfId="16" applyNumberFormat="1" applyBorder="1" applyAlignment="1">
      <alignment horizontal="center"/>
    </xf>
    <xf numFmtId="41" fontId="6" fillId="7" borderId="0" xfId="16" applyNumberFormat="1" applyFill="1" applyBorder="1"/>
    <xf numFmtId="41" fontId="6" fillId="0" borderId="0" xfId="16" applyNumberFormat="1" applyBorder="1"/>
    <xf numFmtId="0" fontId="6" fillId="32" borderId="0" xfId="16" applyFill="1" applyBorder="1" applyAlignment="1">
      <alignment horizontal="center"/>
    </xf>
    <xf numFmtId="37" fontId="6" fillId="4" borderId="0" xfId="16" applyNumberFormat="1" applyFill="1" applyBorder="1"/>
    <xf numFmtId="164" fontId="6" fillId="7" borderId="0" xfId="1" applyNumberFormat="1" applyFill="1" applyBorder="1"/>
    <xf numFmtId="41" fontId="6" fillId="0" borderId="0" xfId="1" applyNumberFormat="1" applyBorder="1"/>
    <xf numFmtId="3" fontId="6" fillId="0" borderId="0" xfId="1" applyNumberFormat="1" applyFill="1" applyBorder="1" applyAlignment="1">
      <alignment horizontal="right"/>
    </xf>
    <xf numFmtId="41" fontId="6" fillId="0" borderId="19" xfId="1" applyNumberFormat="1" applyFill="1" applyBorder="1"/>
    <xf numFmtId="171" fontId="6" fillId="0" borderId="124" xfId="1" applyNumberFormat="1" applyFont="1" applyFill="1" applyBorder="1"/>
    <xf numFmtId="41" fontId="6" fillId="0" borderId="126" xfId="1" applyNumberFormat="1" applyFont="1" applyFill="1" applyBorder="1"/>
    <xf numFmtId="0" fontId="6" fillId="0" borderId="0" xfId="16" applyFill="1" applyBorder="1" applyAlignment="1">
      <alignment horizontal="center"/>
    </xf>
    <xf numFmtId="171" fontId="6" fillId="7" borderId="0" xfId="1" applyNumberFormat="1" applyFill="1" applyBorder="1"/>
    <xf numFmtId="43" fontId="6" fillId="7" borderId="0" xfId="1" applyFill="1" applyBorder="1"/>
    <xf numFmtId="43" fontId="6" fillId="7" borderId="0" xfId="1" applyNumberFormat="1" applyFill="1" applyBorder="1"/>
    <xf numFmtId="170" fontId="6" fillId="0" borderId="14" xfId="16" applyNumberFormat="1" applyBorder="1" applyAlignment="1">
      <alignment horizontal="center" wrapText="1"/>
    </xf>
    <xf numFmtId="0" fontId="11" fillId="0" borderId="0" xfId="16" applyFont="1" applyBorder="1" applyAlignment="1">
      <alignment vertical="top"/>
    </xf>
    <xf numFmtId="15" fontId="8" fillId="0" borderId="0" xfId="0" applyNumberFormat="1" applyFont="1" applyAlignment="1">
      <alignment horizontal="center"/>
    </xf>
    <xf numFmtId="0" fontId="8" fillId="0" borderId="0" xfId="16" applyFont="1" applyBorder="1" applyAlignment="1"/>
    <xf numFmtId="0" fontId="49" fillId="0" borderId="0" xfId="0" applyFont="1" applyBorder="1" applyAlignment="1"/>
    <xf numFmtId="0" fontId="8" fillId="0" borderId="48" xfId="0" applyFont="1" applyBorder="1" applyAlignment="1">
      <alignment horizontal="center"/>
    </xf>
    <xf numFmtId="42" fontId="6" fillId="7" borderId="0" xfId="16" applyNumberFormat="1" applyFont="1" applyFill="1" applyBorder="1"/>
    <xf numFmtId="42" fontId="47" fillId="0" borderId="0" xfId="0" applyNumberFormat="1" applyFont="1" applyFill="1" applyBorder="1"/>
    <xf numFmtId="41" fontId="47" fillId="0" borderId="0" xfId="0" applyNumberFormat="1" applyFont="1" applyFill="1" applyBorder="1"/>
    <xf numFmtId="172" fontId="6" fillId="4" borderId="3" xfId="16" applyNumberFormat="1" applyFont="1" applyFill="1" applyBorder="1" applyAlignment="1">
      <alignment horizontal="center"/>
    </xf>
    <xf numFmtId="37" fontId="0" fillId="0" borderId="3" xfId="0" applyNumberFormat="1" applyBorder="1"/>
    <xf numFmtId="42" fontId="8" fillId="7" borderId="5" xfId="16" applyNumberFormat="1" applyFont="1" applyFill="1" applyBorder="1"/>
    <xf numFmtId="0" fontId="74" fillId="0" borderId="0" xfId="0" applyFont="1" applyAlignment="1">
      <alignment vertical="center"/>
    </xf>
    <xf numFmtId="0" fontId="75" fillId="0" borderId="0" xfId="0" applyFont="1" applyAlignment="1">
      <alignment vertical="center"/>
    </xf>
    <xf numFmtId="0" fontId="76" fillId="0" borderId="0" xfId="0" applyFont="1" applyAlignment="1">
      <alignment vertical="center"/>
    </xf>
    <xf numFmtId="0" fontId="8" fillId="0" borderId="108" xfId="0" applyFont="1" applyFill="1" applyBorder="1" applyAlignment="1"/>
    <xf numFmtId="0" fontId="8" fillId="0" borderId="109" xfId="0" applyFont="1" applyFill="1" applyBorder="1" applyAlignment="1"/>
    <xf numFmtId="0" fontId="8" fillId="0" borderId="12" xfId="16" applyFont="1" applyBorder="1" applyAlignment="1">
      <alignment horizontal="center" vertical="top" wrapText="1"/>
    </xf>
    <xf numFmtId="44" fontId="6" fillId="7" borderId="0" xfId="16" applyNumberFormat="1" applyFill="1" applyBorder="1"/>
    <xf numFmtId="42" fontId="0" fillId="0" borderId="0" xfId="0" applyNumberFormat="1" applyFill="1"/>
    <xf numFmtId="37" fontId="0" fillId="0" borderId="0" xfId="0" applyNumberFormat="1" applyFill="1"/>
    <xf numFmtId="37" fontId="8" fillId="0" borderId="3" xfId="16" applyNumberFormat="1" applyFont="1" applyFill="1" applyBorder="1" applyAlignment="1">
      <alignment horizontal="center"/>
    </xf>
    <xf numFmtId="164" fontId="8" fillId="40" borderId="110" xfId="0" applyNumberFormat="1" applyFont="1" applyFill="1" applyBorder="1" applyAlignment="1"/>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47" fillId="0" borderId="0" xfId="88" quotePrefix="1" applyNumberFormat="1" applyFont="1" applyAlignment="1">
      <alignment horizontal="center" wrapText="1"/>
    </xf>
    <xf numFmtId="0" fontId="6" fillId="0" borderId="0" xfId="88" quotePrefix="1" applyNumberFormat="1" applyBorder="1" applyAlignment="1">
      <alignment horizontal="right" wrapText="1"/>
    </xf>
    <xf numFmtId="41" fontId="6" fillId="2" borderId="0" xfId="1" applyNumberFormat="1" applyFill="1" applyBorder="1" applyAlignment="1">
      <alignment horizontal="right"/>
    </xf>
    <xf numFmtId="172" fontId="6" fillId="0" borderId="3" xfId="16" applyNumberFormat="1" applyBorder="1" applyAlignment="1">
      <alignment horizontal="center"/>
    </xf>
    <xf numFmtId="172" fontId="6" fillId="0" borderId="5" xfId="16" applyNumberFormat="1" applyFill="1" applyBorder="1" applyAlignment="1">
      <alignment horizontal="center"/>
    </xf>
    <xf numFmtId="41" fontId="8" fillId="2" borderId="125" xfId="1" applyNumberFormat="1" applyFont="1" applyFill="1" applyBorder="1" applyAlignment="1">
      <alignment horizontal="right"/>
    </xf>
    <xf numFmtId="0" fontId="10" fillId="0" borderId="0" xfId="16" applyFont="1" applyBorder="1" applyAlignment="1">
      <alignment horizontal="center"/>
    </xf>
    <xf numFmtId="0" fontId="10" fillId="0" borderId="12" xfId="16" applyFont="1" applyBorder="1" applyAlignment="1">
      <alignment horizontal="center" vertical="top" wrapText="1"/>
    </xf>
    <xf numFmtId="0" fontId="10" fillId="0" borderId="14" xfId="16" applyFont="1" applyBorder="1" applyAlignment="1">
      <alignment horizontal="center" vertical="top" wrapText="1"/>
    </xf>
    <xf numFmtId="0" fontId="11" fillId="0" borderId="63" xfId="16" applyFont="1" applyBorder="1" applyAlignment="1">
      <alignment horizontal="center"/>
    </xf>
    <xf numFmtId="0" fontId="11" fillId="0" borderId="64" xfId="16" applyFont="1" applyBorder="1" applyAlignment="1">
      <alignment horizontal="center"/>
    </xf>
    <xf numFmtId="0" fontId="11" fillId="0" borderId="52" xfId="16" applyFont="1" applyBorder="1" applyAlignment="1">
      <alignment horizontal="center"/>
    </xf>
    <xf numFmtId="0" fontId="6" fillId="0" borderId="62" xfId="16" applyBorder="1" applyAlignment="1">
      <alignment horizontal="center"/>
    </xf>
    <xf numFmtId="0" fontId="6" fillId="0" borderId="41" xfId="16" applyBorder="1" applyAlignment="1">
      <alignment horizontal="center"/>
    </xf>
    <xf numFmtId="41" fontId="6" fillId="0" borderId="62" xfId="1" applyNumberFormat="1" applyFill="1" applyBorder="1" applyAlignment="1">
      <alignment horizontal="right"/>
    </xf>
    <xf numFmtId="41" fontId="6" fillId="0" borderId="0" xfId="1" applyNumberFormat="1" applyFill="1" applyBorder="1" applyAlignment="1">
      <alignment horizontal="right"/>
    </xf>
    <xf numFmtId="41" fontId="6" fillId="0" borderId="41" xfId="1" applyNumberFormat="1" applyFill="1" applyBorder="1" applyAlignment="1">
      <alignment horizontal="right"/>
    </xf>
    <xf numFmtId="172" fontId="6" fillId="0" borderId="0" xfId="16" applyNumberFormat="1" applyAlignment="1">
      <alignment horizontal="center"/>
    </xf>
    <xf numFmtId="41" fontId="8" fillId="0" borderId="135" xfId="1" applyNumberFormat="1" applyFont="1" applyFill="1" applyBorder="1" applyAlignment="1">
      <alignment horizontal="right"/>
    </xf>
    <xf numFmtId="41" fontId="8" fillId="0" borderId="125" xfId="1" applyNumberFormat="1" applyFont="1" applyFill="1" applyBorder="1" applyAlignment="1">
      <alignment horizontal="right"/>
    </xf>
    <xf numFmtId="41" fontId="8" fillId="0" borderId="136" xfId="1" applyNumberFormat="1" applyFont="1" applyFill="1" applyBorder="1" applyAlignment="1">
      <alignment horizontal="right"/>
    </xf>
    <xf numFmtId="172" fontId="6" fillId="0" borderId="64" xfId="16" applyNumberFormat="1" applyFill="1" applyBorder="1" applyAlignment="1">
      <alignment horizontal="center"/>
    </xf>
    <xf numFmtId="4" fontId="6" fillId="0" borderId="0" xfId="0" applyNumberFormat="1" applyFont="1"/>
    <xf numFmtId="172" fontId="6" fillId="0" borderId="0" xfId="67" quotePrefix="1" applyNumberFormat="1" applyBorder="1"/>
    <xf numFmtId="4" fontId="0" fillId="32" borderId="0" xfId="0" applyNumberFormat="1" applyFill="1"/>
    <xf numFmtId="38" fontId="6" fillId="4" borderId="0" xfId="76" applyNumberFormat="1" applyFont="1" applyFill="1"/>
    <xf numFmtId="0" fontId="6" fillId="0" borderId="0" xfId="67"/>
    <xf numFmtId="38" fontId="6" fillId="4" borderId="0" xfId="76" applyNumberFormat="1" applyFont="1" applyFill="1" applyBorder="1"/>
    <xf numFmtId="0" fontId="3" fillId="0" borderId="0" xfId="67" applyFont="1" applyBorder="1" applyAlignment="1">
      <alignment horizontal="left" vertical="top"/>
    </xf>
    <xf numFmtId="0" fontId="6" fillId="0" borderId="0" xfId="26"/>
    <xf numFmtId="0" fontId="6" fillId="0" borderId="3" xfId="26" applyBorder="1"/>
    <xf numFmtId="4" fontId="6" fillId="0" borderId="0" xfId="26" applyNumberFormat="1"/>
    <xf numFmtId="164" fontId="6" fillId="8" borderId="0" xfId="1" applyNumberFormat="1" applyFill="1" applyBorder="1" applyAlignment="1">
      <alignment horizontal="center"/>
    </xf>
    <xf numFmtId="14" fontId="6" fillId="42" borderId="0" xfId="66" applyNumberFormat="1" applyFill="1"/>
    <xf numFmtId="4" fontId="6" fillId="32" borderId="83" xfId="76" applyNumberFormat="1" applyFont="1" applyFill="1" applyBorder="1"/>
    <xf numFmtId="43" fontId="6" fillId="0" borderId="0" xfId="1" applyNumberFormat="1" applyFont="1" applyFill="1" applyBorder="1" applyProtection="1">
      <protection locked="0"/>
    </xf>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10" fillId="0" borderId="0" xfId="16" applyFont="1" applyBorder="1" applyAlignment="1">
      <alignment horizontal="center"/>
    </xf>
    <xf numFmtId="0" fontId="10" fillId="0" borderId="17" xfId="16" applyFont="1" applyFill="1" applyBorder="1" applyAlignment="1">
      <alignment horizontal="center" wrapText="1"/>
    </xf>
    <xf numFmtId="0" fontId="6" fillId="0" borderId="0" xfId="0" quotePrefix="1" applyNumberFormat="1" applyFont="1" applyBorder="1" applyAlignment="1">
      <alignment horizontal="center" wrapText="1"/>
    </xf>
    <xf numFmtId="171" fontId="6" fillId="2" borderId="0" xfId="1" applyNumberFormat="1" applyFill="1" applyBorder="1"/>
    <xf numFmtId="41" fontId="6" fillId="2" borderId="19" xfId="1" applyNumberFormat="1" applyFill="1" applyBorder="1"/>
    <xf numFmtId="171" fontId="6" fillId="2" borderId="125" xfId="1" applyNumberFormat="1" applyFont="1" applyFill="1" applyBorder="1"/>
    <xf numFmtId="41" fontId="6" fillId="2" borderId="126" xfId="1" applyNumberFormat="1" applyFont="1" applyFill="1" applyBorder="1"/>
    <xf numFmtId="37" fontId="8" fillId="0" borderId="64" xfId="16" applyNumberFormat="1" applyFont="1" applyFill="1" applyBorder="1" applyAlignment="1">
      <alignment horizontal="center"/>
    </xf>
    <xf numFmtId="1" fontId="6" fillId="43" borderId="0" xfId="1" applyNumberFormat="1" applyFill="1" applyBorder="1"/>
    <xf numFmtId="1" fontId="6" fillId="43" borderId="0" xfId="1" applyNumberFormat="1" applyFill="1" applyBorder="1" applyAlignment="1">
      <alignment horizontal="center"/>
    </xf>
    <xf numFmtId="1" fontId="6" fillId="43" borderId="19" xfId="1" applyNumberFormat="1" applyFill="1" applyBorder="1"/>
    <xf numFmtId="1" fontId="8" fillId="43" borderId="125" xfId="16" applyNumberFormat="1" applyFont="1" applyFill="1" applyBorder="1"/>
    <xf numFmtId="1" fontId="8" fillId="43" borderId="125" xfId="1" applyNumberFormat="1" applyFont="1" applyFill="1" applyBorder="1"/>
    <xf numFmtId="1" fontId="8" fillId="43" borderId="125" xfId="1" applyNumberFormat="1" applyFont="1" applyFill="1" applyBorder="1" applyAlignment="1">
      <alignment horizontal="center"/>
    </xf>
    <xf numFmtId="1" fontId="8" fillId="43" borderId="126" xfId="16" applyNumberFormat="1" applyFont="1" applyFill="1" applyBorder="1"/>
    <xf numFmtId="42" fontId="6" fillId="0" borderId="0" xfId="0" applyNumberFormat="1" applyFont="1" applyFill="1" applyBorder="1" applyAlignment="1">
      <alignment wrapText="1"/>
    </xf>
    <xf numFmtId="170" fontId="8" fillId="0" borderId="44" xfId="0" applyNumberFormat="1" applyFont="1" applyFill="1" applyBorder="1" applyAlignment="1"/>
    <xf numFmtId="170" fontId="8" fillId="33" borderId="13" xfId="0" applyNumberFormat="1" applyFont="1" applyFill="1" applyBorder="1"/>
    <xf numFmtId="0" fontId="8" fillId="0" borderId="13" xfId="0" applyFont="1" applyFill="1" applyBorder="1" applyAlignment="1"/>
    <xf numFmtId="42" fontId="6" fillId="0" borderId="3" xfId="0" applyNumberFormat="1" applyFont="1" applyFill="1" applyBorder="1"/>
    <xf numFmtId="0" fontId="11" fillId="8" borderId="0" xfId="16" applyFont="1" applyFill="1" applyBorder="1" applyAlignment="1">
      <alignment vertical="top" wrapText="1"/>
    </xf>
    <xf numFmtId="42" fontId="6" fillId="0" borderId="12" xfId="16" applyNumberFormat="1" applyFill="1" applyBorder="1" applyAlignment="1">
      <alignment vertical="center"/>
    </xf>
    <xf numFmtId="42" fontId="6" fillId="0" borderId="44" xfId="16" applyNumberFormat="1" applyFill="1" applyBorder="1" applyAlignment="1">
      <alignment vertical="center"/>
    </xf>
    <xf numFmtId="42" fontId="6" fillId="0" borderId="14" xfId="16" applyNumberFormat="1" applyFill="1" applyBorder="1" applyAlignment="1">
      <alignment vertical="center"/>
    </xf>
    <xf numFmtId="0" fontId="8" fillId="0" borderId="3" xfId="16" applyFont="1" applyBorder="1" applyAlignment="1">
      <alignment horizontal="center" wrapText="1"/>
    </xf>
    <xf numFmtId="0" fontId="6" fillId="0" borderId="81" xfId="16" applyBorder="1"/>
    <xf numFmtId="0" fontId="6" fillId="8" borderId="3" xfId="16" applyFill="1" applyBorder="1" applyAlignment="1">
      <alignment horizontal="center" wrapText="1"/>
    </xf>
    <xf numFmtId="0" fontId="8" fillId="0" borderId="138" xfId="0" applyFont="1" applyFill="1" applyBorder="1" applyAlignment="1">
      <alignment horizontal="center" wrapText="1"/>
    </xf>
    <xf numFmtId="0" fontId="6" fillId="0" borderId="13" xfId="0" applyFont="1" applyFill="1" applyBorder="1" applyAlignment="1">
      <alignment horizontal="center" wrapText="1"/>
    </xf>
    <xf numFmtId="0" fontId="8" fillId="0" borderId="13" xfId="0" applyFont="1" applyFill="1" applyBorder="1" applyAlignment="1">
      <alignment horizontal="center" wrapText="1"/>
    </xf>
    <xf numFmtId="0" fontId="8" fillId="0" borderId="6" xfId="0" applyFont="1" applyFill="1" applyBorder="1" applyAlignment="1">
      <alignment horizontal="center" wrapText="1"/>
    </xf>
    <xf numFmtId="0" fontId="8" fillId="0" borderId="139" xfId="0" applyFont="1" applyFill="1" applyBorder="1" applyAlignment="1">
      <alignment horizontal="center" wrapText="1"/>
    </xf>
    <xf numFmtId="0" fontId="8" fillId="0" borderId="140" xfId="0" applyFont="1" applyBorder="1" applyAlignment="1">
      <alignment horizontal="center" wrapText="1"/>
    </xf>
    <xf numFmtId="0" fontId="8" fillId="4" borderId="138" xfId="16" applyFont="1" applyFill="1" applyBorder="1" applyAlignment="1">
      <alignment horizontal="center"/>
    </xf>
    <xf numFmtId="0" fontId="8" fillId="4" borderId="139" xfId="16" applyFont="1" applyFill="1" applyBorder="1" applyAlignment="1">
      <alignment horizontal="center"/>
    </xf>
    <xf numFmtId="0" fontId="8" fillId="0" borderId="0" xfId="0" applyFont="1" applyBorder="1" applyAlignment="1">
      <alignment horizontal="center" wrapText="1"/>
    </xf>
    <xf numFmtId="42" fontId="6" fillId="0" borderId="18" xfId="16" applyNumberFormat="1" applyBorder="1"/>
    <xf numFmtId="42" fontId="6" fillId="0" borderId="19" xfId="16" applyNumberFormat="1" applyBorder="1"/>
    <xf numFmtId="42" fontId="6" fillId="0" borderId="85" xfId="16" applyNumberFormat="1" applyBorder="1"/>
    <xf numFmtId="41" fontId="6" fillId="0" borderId="18" xfId="16" applyNumberFormat="1" applyBorder="1"/>
    <xf numFmtId="41" fontId="6" fillId="0" borderId="19" xfId="16" applyNumberFormat="1" applyBorder="1"/>
    <xf numFmtId="41" fontId="6" fillId="0" borderId="85" xfId="16" applyNumberFormat="1" applyBorder="1"/>
    <xf numFmtId="37" fontId="6" fillId="4" borderId="18" xfId="16" applyNumberFormat="1" applyFill="1" applyBorder="1"/>
    <xf numFmtId="0" fontId="6" fillId="0" borderId="0" xfId="16" applyNumberFormat="1" applyAlignment="1">
      <alignment horizontal="center"/>
    </xf>
    <xf numFmtId="41" fontId="6" fillId="0" borderId="141" xfId="16" applyNumberFormat="1" applyBorder="1"/>
    <xf numFmtId="37" fontId="6" fillId="4" borderId="22" xfId="16" applyNumberFormat="1" applyFill="1" applyBorder="1"/>
    <xf numFmtId="37" fontId="6" fillId="4" borderId="23" xfId="16" applyNumberFormat="1" applyFill="1" applyBorder="1"/>
    <xf numFmtId="37" fontId="6" fillId="4" borderId="24" xfId="16" applyNumberFormat="1" applyFill="1" applyBorder="1"/>
    <xf numFmtId="42" fontId="8" fillId="0" borderId="142" xfId="16" applyNumberFormat="1" applyFont="1" applyBorder="1"/>
    <xf numFmtId="172" fontId="6" fillId="4" borderId="0" xfId="16" applyNumberFormat="1" applyFill="1"/>
    <xf numFmtId="14" fontId="6" fillId="0" borderId="0" xfId="16" applyNumberFormat="1"/>
    <xf numFmtId="0" fontId="68" fillId="42" borderId="0" xfId="85" applyFont="1" applyFill="1"/>
    <xf numFmtId="172" fontId="6" fillId="0" borderId="0" xfId="76" applyNumberFormat="1" applyFont="1" applyFill="1"/>
    <xf numFmtId="38" fontId="0" fillId="0" borderId="0" xfId="0" applyNumberFormat="1" applyFill="1"/>
    <xf numFmtId="3" fontId="6" fillId="0" borderId="0" xfId="76" applyNumberFormat="1" applyFont="1" applyFill="1"/>
    <xf numFmtId="0" fontId="77" fillId="0" borderId="0" xfId="26" applyFont="1" applyAlignment="1">
      <alignment horizontal="right"/>
    </xf>
    <xf numFmtId="49" fontId="6" fillId="0" borderId="0" xfId="26" applyNumberFormat="1"/>
    <xf numFmtId="3" fontId="6" fillId="0" borderId="0" xfId="26" applyNumberFormat="1"/>
    <xf numFmtId="49" fontId="77" fillId="0" borderId="0" xfId="26" applyNumberFormat="1" applyFont="1" applyAlignment="1">
      <alignment wrapText="1"/>
    </xf>
    <xf numFmtId="172" fontId="6" fillId="0" borderId="0" xfId="26" applyNumberFormat="1"/>
    <xf numFmtId="43" fontId="8" fillId="0" borderId="0" xfId="76" applyNumberFormat="1" applyFont="1"/>
    <xf numFmtId="172" fontId="8" fillId="0" borderId="0" xfId="26" applyNumberFormat="1" applyFont="1"/>
    <xf numFmtId="49" fontId="8" fillId="0" borderId="0" xfId="26" applyNumberFormat="1" applyFont="1"/>
    <xf numFmtId="4" fontId="8" fillId="0" borderId="0" xfId="76" applyNumberFormat="1" applyFont="1"/>
    <xf numFmtId="40" fontId="6" fillId="0" borderId="0" xfId="76" applyNumberFormat="1" applyFont="1" applyFill="1"/>
    <xf numFmtId="3" fontId="0" fillId="0" borderId="0" xfId="0" applyNumberFormat="1" applyFill="1"/>
    <xf numFmtId="0" fontId="11" fillId="0" borderId="13" xfId="66" applyFont="1" applyBorder="1" applyAlignment="1">
      <alignment horizontal="center"/>
    </xf>
    <xf numFmtId="0" fontId="8" fillId="0" borderId="0" xfId="16" applyFont="1" applyBorder="1" applyAlignment="1">
      <alignment horizontal="center" wrapText="1"/>
    </xf>
    <xf numFmtId="0" fontId="8" fillId="0" borderId="3" xfId="16" applyFont="1" applyBorder="1" applyAlignment="1">
      <alignment horizontal="center" wrapText="1"/>
    </xf>
    <xf numFmtId="4" fontId="8" fillId="0" borderId="0" xfId="76" applyNumberFormat="1" applyFont="1" applyBorder="1"/>
    <xf numFmtId="0" fontId="6" fillId="42" borderId="0" xfId="66" applyFill="1"/>
    <xf numFmtId="172" fontId="6" fillId="0" borderId="0" xfId="0" applyNumberFormat="1" applyFont="1" applyFill="1"/>
    <xf numFmtId="39" fontId="6" fillId="7" borderId="0" xfId="0" applyNumberFormat="1" applyFont="1" applyFill="1"/>
    <xf numFmtId="172" fontId="65" fillId="0" borderId="0" xfId="16" applyNumberFormat="1" applyFont="1" applyBorder="1" applyAlignment="1">
      <alignment horizontal="right"/>
    </xf>
    <xf numFmtId="172" fontId="65" fillId="8" borderId="0" xfId="16" applyNumberFormat="1" applyFont="1" applyFill="1" applyBorder="1" applyAlignment="1">
      <alignment horizontal="right"/>
    </xf>
    <xf numFmtId="172" fontId="65" fillId="4" borderId="0" xfId="16" applyNumberFormat="1" applyFont="1" applyFill="1" applyBorder="1" applyAlignment="1">
      <alignment horizontal="right"/>
    </xf>
    <xf numFmtId="0" fontId="65" fillId="8" borderId="0" xfId="16" applyFont="1" applyFill="1" applyBorder="1" applyAlignment="1">
      <alignment horizontal="right"/>
    </xf>
    <xf numFmtId="172" fontId="65" fillId="0" borderId="64" xfId="16" applyNumberFormat="1" applyFont="1" applyBorder="1" applyAlignment="1">
      <alignment horizontal="right"/>
    </xf>
    <xf numFmtId="172" fontId="65" fillId="0" borderId="3" xfId="16" applyNumberFormat="1" applyFont="1" applyBorder="1" applyAlignment="1">
      <alignment horizontal="right"/>
    </xf>
    <xf numFmtId="0" fontId="65" fillId="0" borderId="3" xfId="16" applyFont="1" applyBorder="1" applyAlignment="1">
      <alignment horizontal="right"/>
    </xf>
    <xf numFmtId="0" fontId="65" fillId="0" borderId="0" xfId="16" applyFont="1" applyBorder="1" applyAlignment="1">
      <alignment horizontal="right"/>
    </xf>
    <xf numFmtId="0" fontId="65" fillId="0" borderId="0" xfId="16" applyFont="1" applyBorder="1"/>
    <xf numFmtId="171" fontId="6" fillId="2" borderId="18" xfId="1" applyNumberFormat="1" applyFill="1" applyBorder="1"/>
    <xf numFmtId="171" fontId="6" fillId="2" borderId="20" xfId="1" applyNumberFormat="1" applyFill="1" applyBorder="1"/>
    <xf numFmtId="171" fontId="6" fillId="0" borderId="18" xfId="1" applyNumberFormat="1" applyFill="1" applyBorder="1"/>
    <xf numFmtId="3" fontId="6" fillId="0" borderId="19" xfId="1" applyNumberFormat="1" applyFill="1" applyBorder="1" applyAlignment="1">
      <alignment horizontal="right"/>
    </xf>
    <xf numFmtId="174" fontId="6" fillId="4" borderId="0" xfId="16" applyNumberFormat="1" applyFont="1" applyFill="1" applyAlignment="1">
      <alignment horizontal="left"/>
    </xf>
    <xf numFmtId="4" fontId="0" fillId="36" borderId="0" xfId="0" applyNumberFormat="1" applyFill="1" applyBorder="1" applyAlignment="1"/>
    <xf numFmtId="172" fontId="6" fillId="4" borderId="0" xfId="16" applyNumberFormat="1" applyFont="1" applyFill="1" applyBorder="1" applyAlignment="1"/>
    <xf numFmtId="172" fontId="6" fillId="4" borderId="0" xfId="16" applyNumberFormat="1" applyFont="1" applyFill="1" applyAlignment="1"/>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8" fillId="0" borderId="0" xfId="16" applyFont="1" applyFill="1" applyBorder="1" applyAlignment="1">
      <alignment horizontal="center" wrapText="1"/>
    </xf>
    <xf numFmtId="0" fontId="45" fillId="0" borderId="23" xfId="16" quotePrefix="1" applyNumberFormat="1" applyFont="1" applyBorder="1" applyAlignment="1">
      <alignment horizontal="center" wrapText="1"/>
    </xf>
    <xf numFmtId="0" fontId="24" fillId="0" borderId="3" xfId="16" quotePrefix="1" applyFont="1" applyFill="1" applyBorder="1" applyAlignment="1">
      <alignment horizontal="center" wrapText="1"/>
    </xf>
    <xf numFmtId="0" fontId="47" fillId="0" borderId="0" xfId="16" quotePrefix="1" applyNumberFormat="1" applyFont="1" applyAlignment="1">
      <alignment horizontal="center" wrapText="1"/>
    </xf>
    <xf numFmtId="0" fontId="6" fillId="0" borderId="143" xfId="88" quotePrefix="1" applyNumberFormat="1" applyBorder="1" applyAlignment="1">
      <alignment horizontal="center" wrapText="1"/>
    </xf>
    <xf numFmtId="0" fontId="6" fillId="0" borderId="0" xfId="88" quotePrefix="1" applyNumberFormat="1" applyBorder="1" applyAlignment="1">
      <alignment horizontal="center" wrapText="1"/>
    </xf>
    <xf numFmtId="0" fontId="6" fillId="0" borderId="64" xfId="88" quotePrefix="1" applyNumberFormat="1" applyBorder="1" applyAlignment="1">
      <alignment horizontal="center" wrapText="1"/>
    </xf>
    <xf numFmtId="0" fontId="6" fillId="0" borderId="143" xfId="88" quotePrefix="1" applyNumberFormat="1" applyFont="1" applyBorder="1" applyAlignment="1">
      <alignment horizontal="center" wrapText="1"/>
    </xf>
    <xf numFmtId="0" fontId="6" fillId="0" borderId="144" xfId="88" quotePrefix="1" applyNumberFormat="1" applyFont="1" applyBorder="1" applyAlignment="1">
      <alignment horizontal="center" wrapText="1"/>
    </xf>
    <xf numFmtId="2" fontId="47" fillId="0" borderId="0" xfId="88" quotePrefix="1" applyNumberFormat="1" applyFont="1" applyAlignment="1">
      <alignment horizontal="center" wrapText="1"/>
    </xf>
    <xf numFmtId="49" fontId="0" fillId="0" borderId="0" xfId="16" applyNumberFormat="1" applyFont="1" applyAlignment="1">
      <alignment horizontal="center"/>
    </xf>
    <xf numFmtId="0" fontId="6" fillId="4" borderId="0" xfId="61" applyFill="1" applyAlignment="1">
      <alignment horizontal="center"/>
    </xf>
    <xf numFmtId="0" fontId="8" fillId="0" borderId="23" xfId="16" applyFont="1" applyBorder="1" applyAlignment="1">
      <alignment horizontal="center" wrapText="1"/>
    </xf>
    <xf numFmtId="0" fontId="24" fillId="0" borderId="23" xfId="61" quotePrefix="1" applyFont="1" applyFill="1" applyBorder="1" applyAlignment="1">
      <alignment horizontal="center" wrapText="1"/>
    </xf>
    <xf numFmtId="0" fontId="47" fillId="0" borderId="15" xfId="88" quotePrefix="1" applyNumberFormat="1" applyFont="1" applyFill="1" applyBorder="1" applyAlignment="1">
      <alignment horizontal="center" wrapText="1"/>
    </xf>
    <xf numFmtId="0" fontId="47" fillId="0" borderId="16" xfId="88" quotePrefix="1" applyNumberFormat="1" applyFont="1" applyFill="1" applyBorder="1" applyAlignment="1">
      <alignment horizontal="center" wrapText="1"/>
    </xf>
    <xf numFmtId="0" fontId="47" fillId="0" borderId="17" xfId="88" quotePrefix="1" applyNumberFormat="1" applyFont="1" applyFill="1" applyBorder="1" applyAlignment="1">
      <alignment horizontal="center" wrapText="1"/>
    </xf>
    <xf numFmtId="0" fontId="47" fillId="0" borderId="0" xfId="88" quotePrefix="1" applyNumberFormat="1" applyFont="1" applyFill="1" applyBorder="1" applyAlignment="1">
      <alignment horizontal="center" wrapText="1"/>
    </xf>
    <xf numFmtId="0" fontId="47" fillId="0" borderId="19" xfId="88" quotePrefix="1" applyNumberFormat="1" applyFont="1" applyFill="1" applyBorder="1" applyAlignment="1">
      <alignment horizontal="center" wrapText="1"/>
    </xf>
    <xf numFmtId="0" fontId="8" fillId="0" borderId="3" xfId="16" applyFont="1" applyFill="1" applyBorder="1" applyAlignment="1">
      <alignment wrapText="1"/>
    </xf>
    <xf numFmtId="164" fontId="6" fillId="0" borderId="0" xfId="1" applyNumberFormat="1" applyFill="1" applyBorder="1"/>
    <xf numFmtId="2" fontId="6" fillId="0" borderId="0" xfId="1" applyNumberFormat="1" applyFill="1" applyBorder="1"/>
    <xf numFmtId="2" fontId="6" fillId="0" borderId="0" xfId="1" applyNumberFormat="1" applyFill="1" applyBorder="1" applyAlignment="1">
      <alignment horizontal="center"/>
    </xf>
    <xf numFmtId="2" fontId="6" fillId="0" borderId="19" xfId="1" applyNumberFormat="1" applyFill="1" applyBorder="1"/>
    <xf numFmtId="164" fontId="6" fillId="8" borderId="18" xfId="1" applyNumberFormat="1" applyFill="1" applyBorder="1" applyAlignment="1">
      <alignment horizontal="center"/>
    </xf>
    <xf numFmtId="164" fontId="6" fillId="0" borderId="0" xfId="1" applyNumberFormat="1" applyFill="1" applyBorder="1" applyAlignment="1">
      <alignment horizontal="center"/>
    </xf>
    <xf numFmtId="164" fontId="8" fillId="0" borderId="125" xfId="16" applyNumberFormat="1" applyFont="1" applyFill="1" applyBorder="1"/>
    <xf numFmtId="172" fontId="6" fillId="4" borderId="0" xfId="16" applyNumberFormat="1" applyFont="1" applyFill="1" applyBorder="1" applyAlignment="1">
      <alignment horizontal="right"/>
    </xf>
    <xf numFmtId="172" fontId="6" fillId="8" borderId="0" xfId="16" applyNumberFormat="1" applyFont="1" applyFill="1" applyBorder="1" applyAlignment="1">
      <alignment horizontal="right"/>
    </xf>
    <xf numFmtId="172" fontId="6" fillId="0" borderId="64" xfId="16" applyNumberFormat="1" applyBorder="1" applyAlignment="1">
      <alignment horizontal="right"/>
    </xf>
    <xf numFmtId="172" fontId="6" fillId="0" borderId="3" xfId="16" applyNumberFormat="1" applyBorder="1" applyAlignment="1">
      <alignment horizontal="right"/>
    </xf>
    <xf numFmtId="41" fontId="6" fillId="2" borderId="18" xfId="1" applyNumberFormat="1" applyFill="1" applyBorder="1"/>
    <xf numFmtId="171" fontId="6" fillId="2" borderId="19" xfId="1" applyNumberFormat="1" applyFill="1" applyBorder="1"/>
    <xf numFmtId="41" fontId="6" fillId="2" borderId="124" xfId="1" applyNumberFormat="1" applyFont="1" applyFill="1" applyBorder="1"/>
    <xf numFmtId="171" fontId="6" fillId="2" borderId="126" xfId="1" applyNumberFormat="1" applyFont="1" applyFill="1" applyBorder="1"/>
    <xf numFmtId="2" fontId="6" fillId="0" borderId="19" xfId="1" applyNumberFormat="1" applyFill="1" applyBorder="1" applyAlignment="1">
      <alignment horizontal="center"/>
    </xf>
    <xf numFmtId="1" fontId="8" fillId="0" borderId="125" xfId="16" applyNumberFormat="1" applyFont="1" applyFill="1" applyBorder="1"/>
    <xf numFmtId="1" fontId="8" fillId="0" borderId="125" xfId="1" applyNumberFormat="1" applyFont="1" applyFill="1" applyBorder="1"/>
    <xf numFmtId="1" fontId="8" fillId="0" borderId="125" xfId="1" applyNumberFormat="1" applyFont="1" applyFill="1" applyBorder="1" applyAlignment="1">
      <alignment horizontal="center"/>
    </xf>
    <xf numFmtId="1" fontId="8" fillId="0" borderId="126" xfId="16" applyNumberFormat="1" applyFont="1" applyFill="1" applyBorder="1"/>
    <xf numFmtId="0" fontId="2" fillId="0" borderId="0" xfId="90" applyAlignment="1">
      <alignment horizontal="center"/>
    </xf>
    <xf numFmtId="0" fontId="78" fillId="0" borderId="0" xfId="90" applyFont="1"/>
    <xf numFmtId="0" fontId="2" fillId="0" borderId="0" xfId="90"/>
    <xf numFmtId="167" fontId="0" fillId="0" borderId="0" xfId="91" applyNumberFormat="1" applyFont="1"/>
    <xf numFmtId="0" fontId="2" fillId="32" borderId="0" xfId="90" applyFill="1"/>
    <xf numFmtId="0" fontId="8" fillId="32" borderId="3" xfId="16" applyFont="1" applyFill="1" applyBorder="1" applyAlignment="1">
      <alignment wrapText="1"/>
    </xf>
    <xf numFmtId="0" fontId="79" fillId="0" borderId="3" xfId="90" applyFont="1" applyBorder="1" applyAlignment="1">
      <alignment horizontal="center"/>
    </xf>
    <xf numFmtId="167" fontId="79" fillId="0" borderId="3" xfId="91" applyNumberFormat="1" applyFont="1" applyBorder="1" applyAlignment="1">
      <alignment horizontal="center"/>
    </xf>
    <xf numFmtId="167" fontId="0" fillId="8" borderId="0" xfId="91" applyNumberFormat="1" applyFont="1" applyFill="1"/>
    <xf numFmtId="41" fontId="6" fillId="0" borderId="0" xfId="92" applyNumberFormat="1" applyFont="1" applyFill="1"/>
    <xf numFmtId="0" fontId="8" fillId="0" borderId="2" xfId="16" applyFont="1" applyFill="1" applyBorder="1"/>
    <xf numFmtId="42" fontId="6" fillId="38" borderId="2" xfId="16" applyNumberFormat="1" applyFont="1" applyFill="1" applyBorder="1"/>
    <xf numFmtId="167" fontId="0" fillId="0" borderId="2" xfId="91" applyNumberFormat="1" applyFont="1" applyBorder="1"/>
    <xf numFmtId="0" fontId="8" fillId="0" borderId="0" xfId="16" applyFont="1" applyFill="1" applyBorder="1"/>
    <xf numFmtId="42" fontId="6" fillId="0" borderId="0" xfId="16" applyNumberFormat="1" applyFont="1" applyFill="1" applyBorder="1"/>
    <xf numFmtId="167" fontId="0" fillId="0" borderId="0" xfId="91" applyNumberFormat="1" applyFont="1" applyBorder="1"/>
    <xf numFmtId="0" fontId="8" fillId="32" borderId="2" xfId="16" applyFont="1" applyFill="1" applyBorder="1" applyAlignment="1">
      <alignment wrapText="1"/>
    </xf>
    <xf numFmtId="0" fontId="2" fillId="32" borderId="2" xfId="90" applyFill="1" applyBorder="1"/>
    <xf numFmtId="0" fontId="79" fillId="0" borderId="2" xfId="90" applyFont="1" applyBorder="1" applyAlignment="1">
      <alignment horizontal="center"/>
    </xf>
    <xf numFmtId="167" fontId="79" fillId="0" borderId="2" xfId="91" applyNumberFormat="1" applyFont="1" applyBorder="1" applyAlignment="1">
      <alignment horizontal="center"/>
    </xf>
    <xf numFmtId="42" fontId="2" fillId="0" borderId="0" xfId="90" applyNumberFormat="1"/>
    <xf numFmtId="0" fontId="1" fillId="0" borderId="0" xfId="90" applyFont="1"/>
    <xf numFmtId="14" fontId="8" fillId="0" borderId="0" xfId="16" applyNumberFormat="1" applyFont="1" applyBorder="1" applyAlignment="1">
      <alignment horizontal="left"/>
    </xf>
    <xf numFmtId="41" fontId="6" fillId="2" borderId="44" xfId="1" applyNumberFormat="1" applyFill="1" applyBorder="1"/>
    <xf numFmtId="41" fontId="6" fillId="32" borderId="44" xfId="1" applyNumberFormat="1" applyFill="1" applyBorder="1" applyAlignment="1">
      <alignment horizontal="center"/>
    </xf>
    <xf numFmtId="44" fontId="8" fillId="2" borderId="5" xfId="1" applyNumberFormat="1" applyFont="1" applyFill="1" applyBorder="1"/>
    <xf numFmtId="170" fontId="6" fillId="2" borderId="12" xfId="25" applyNumberFormat="1" applyFont="1" applyFill="1" applyBorder="1"/>
    <xf numFmtId="0" fontId="64" fillId="0" borderId="0" xfId="82" applyBorder="1"/>
    <xf numFmtId="0" fontId="8" fillId="0" borderId="121" xfId="16" applyFont="1" applyBorder="1" applyAlignment="1">
      <alignment horizontal="center"/>
    </xf>
    <xf numFmtId="0" fontId="8" fillId="0" borderId="113" xfId="16" applyFont="1" applyBorder="1" applyAlignment="1">
      <alignment horizontal="center"/>
    </xf>
    <xf numFmtId="0" fontId="8" fillId="0" borderId="84" xfId="16" applyFont="1" applyBorder="1" applyAlignment="1">
      <alignment horizontal="center"/>
    </xf>
    <xf numFmtId="0" fontId="6" fillId="0" borderId="121" xfId="16" applyBorder="1" applyAlignment="1">
      <alignment horizontal="center"/>
    </xf>
    <xf numFmtId="0" fontId="6" fillId="0" borderId="113" xfId="16" applyBorder="1" applyAlignment="1">
      <alignment horizontal="center"/>
    </xf>
    <xf numFmtId="0" fontId="6" fillId="0" borderId="84" xfId="16" applyBorder="1" applyAlignment="1">
      <alignment horizontal="center"/>
    </xf>
    <xf numFmtId="0" fontId="8" fillId="0" borderId="0" xfId="16" applyFont="1" applyBorder="1" applyAlignment="1">
      <alignment horizontal="center" wrapText="1"/>
    </xf>
    <xf numFmtId="0" fontId="8" fillId="0" borderId="3" xfId="16" applyFont="1" applyBorder="1" applyAlignment="1">
      <alignment horizontal="center" wrapText="1"/>
    </xf>
    <xf numFmtId="0" fontId="8" fillId="0" borderId="13" xfId="16" applyFont="1" applyBorder="1" applyAlignment="1">
      <alignment horizontal="center" wrapText="1"/>
    </xf>
    <xf numFmtId="0" fontId="45" fillId="0" borderId="13" xfId="0" applyFont="1" applyBorder="1" applyAlignment="1">
      <alignment horizontal="center" wrapText="1"/>
    </xf>
    <xf numFmtId="0" fontId="8" fillId="44" borderId="25" xfId="16" applyFont="1" applyFill="1" applyBorder="1" applyAlignment="1">
      <alignment horizontal="center"/>
    </xf>
    <xf numFmtId="0" fontId="8" fillId="44" borderId="26" xfId="16" applyFont="1" applyFill="1" applyBorder="1" applyAlignment="1">
      <alignment horizontal="center"/>
    </xf>
    <xf numFmtId="0" fontId="8" fillId="45" borderId="25" xfId="16" applyFont="1" applyFill="1" applyBorder="1" applyAlignment="1">
      <alignment horizontal="center"/>
    </xf>
    <xf numFmtId="0" fontId="8" fillId="45" borderId="26" xfId="16" applyFont="1" applyFill="1" applyBorder="1" applyAlignment="1">
      <alignment horizontal="center"/>
    </xf>
    <xf numFmtId="0" fontId="8" fillId="45" borderId="137" xfId="16" applyFont="1" applyFill="1" applyBorder="1" applyAlignment="1">
      <alignment horizontal="center"/>
    </xf>
    <xf numFmtId="0" fontId="8" fillId="0" borderId="25" xfId="16" applyFont="1" applyBorder="1" applyAlignment="1">
      <alignment horizontal="center"/>
    </xf>
    <xf numFmtId="0" fontId="8" fillId="0" borderId="26" xfId="16" applyFont="1" applyBorder="1" applyAlignment="1">
      <alignment horizontal="center"/>
    </xf>
    <xf numFmtId="0" fontId="8" fillId="0" borderId="137" xfId="16" applyFont="1" applyBorder="1" applyAlignment="1">
      <alignment horizontal="center"/>
    </xf>
    <xf numFmtId="0" fontId="6" fillId="0" borderId="6" xfId="16" applyBorder="1" applyAlignment="1">
      <alignment horizontal="center"/>
    </xf>
    <xf numFmtId="0" fontId="6" fillId="0" borderId="7" xfId="16" applyBorder="1" applyAlignment="1">
      <alignment horizontal="center"/>
    </xf>
    <xf numFmtId="0" fontId="8" fillId="0" borderId="6" xfId="16" applyFont="1" applyBorder="1" applyAlignment="1">
      <alignment horizontal="center"/>
    </xf>
    <xf numFmtId="0" fontId="8" fillId="0" borderId="2" xfId="16" applyFont="1" applyBorder="1" applyAlignment="1">
      <alignment horizontal="center"/>
    </xf>
    <xf numFmtId="0" fontId="8" fillId="0" borderId="7" xfId="16" applyFont="1" applyBorder="1" applyAlignment="1">
      <alignment horizontal="center"/>
    </xf>
    <xf numFmtId="0" fontId="8" fillId="0" borderId="6" xfId="16" applyFont="1" applyFill="1" applyBorder="1" applyAlignment="1">
      <alignment horizontal="center"/>
    </xf>
    <xf numFmtId="0" fontId="8" fillId="0" borderId="2" xfId="16" applyFont="1" applyFill="1" applyBorder="1" applyAlignment="1">
      <alignment horizontal="center"/>
    </xf>
    <xf numFmtId="0" fontId="8" fillId="0" borderId="7" xfId="16" applyFont="1" applyFill="1" applyBorder="1" applyAlignment="1">
      <alignment horizontal="center"/>
    </xf>
    <xf numFmtId="0" fontId="6" fillId="8" borderId="6" xfId="16" applyFill="1" applyBorder="1" applyAlignment="1">
      <alignment horizontal="center"/>
    </xf>
    <xf numFmtId="0" fontId="6" fillId="8" borderId="2" xfId="16" applyFill="1" applyBorder="1" applyAlignment="1">
      <alignment horizontal="center"/>
    </xf>
    <xf numFmtId="0" fontId="6" fillId="8" borderId="7" xfId="16" applyFill="1" applyBorder="1" applyAlignment="1">
      <alignment horizontal="center"/>
    </xf>
    <xf numFmtId="0" fontId="6" fillId="0" borderId="3" xfId="16" applyBorder="1" applyAlignment="1">
      <alignment horizontal="center" wrapText="1"/>
    </xf>
    <xf numFmtId="0" fontId="8" fillId="43" borderId="6" xfId="0" applyFont="1" applyFill="1" applyBorder="1" applyAlignment="1">
      <alignment horizontal="center"/>
    </xf>
    <xf numFmtId="0" fontId="8" fillId="43" borderId="2" xfId="0" applyFont="1" applyFill="1" applyBorder="1" applyAlignment="1">
      <alignment horizontal="center"/>
    </xf>
    <xf numFmtId="0" fontId="8" fillId="43" borderId="7" xfId="0" applyFont="1" applyFill="1" applyBorder="1" applyAlignment="1">
      <alignment horizontal="center"/>
    </xf>
    <xf numFmtId="0" fontId="8" fillId="0" borderId="0" xfId="16" applyFont="1" applyFill="1" applyBorder="1" applyAlignment="1">
      <alignment horizontal="center" wrapText="1"/>
    </xf>
    <xf numFmtId="0" fontId="8" fillId="0" borderId="3" xfId="16" applyFont="1" applyFill="1" applyBorder="1" applyAlignment="1">
      <alignment horizontal="center" wrapText="1"/>
    </xf>
    <xf numFmtId="0" fontId="8" fillId="4" borderId="121" xfId="16" applyFont="1" applyFill="1" applyBorder="1" applyAlignment="1">
      <alignment horizontal="center"/>
    </xf>
    <xf numFmtId="0" fontId="8" fillId="4" borderId="113" xfId="16" applyFont="1" applyFill="1" applyBorder="1" applyAlignment="1">
      <alignment horizontal="center"/>
    </xf>
    <xf numFmtId="0" fontId="8" fillId="4" borderId="84" xfId="16" applyFont="1" applyFill="1" applyBorder="1" applyAlignment="1">
      <alignment horizontal="center"/>
    </xf>
    <xf numFmtId="0" fontId="8" fillId="43" borderId="63" xfId="88" applyFont="1" applyFill="1" applyBorder="1" applyAlignment="1">
      <alignment horizontal="center"/>
    </xf>
    <xf numFmtId="0" fontId="8" fillId="43" borderId="64" xfId="88" applyFont="1" applyFill="1" applyBorder="1" applyAlignment="1">
      <alignment horizontal="center"/>
    </xf>
    <xf numFmtId="0" fontId="8" fillId="43" borderId="52" xfId="88" applyFont="1" applyFill="1" applyBorder="1" applyAlignment="1">
      <alignment horizontal="center"/>
    </xf>
    <xf numFmtId="0" fontId="24" fillId="0" borderId="6" xfId="61" quotePrefix="1" applyFont="1" applyFill="1" applyBorder="1" applyAlignment="1">
      <alignment horizontal="center" wrapText="1"/>
    </xf>
    <xf numFmtId="0" fontId="24" fillId="0" borderId="2" xfId="61" quotePrefix="1" applyFont="1" applyFill="1" applyBorder="1" applyAlignment="1">
      <alignment horizontal="center" wrapText="1"/>
    </xf>
    <xf numFmtId="0" fontId="24" fillId="0" borderId="7" xfId="61" quotePrefix="1" applyFont="1" applyFill="1" applyBorder="1" applyAlignment="1">
      <alignment horizontal="center" wrapText="1"/>
    </xf>
    <xf numFmtId="0" fontId="79" fillId="0" borderId="6" xfId="90" applyFont="1" applyBorder="1" applyAlignment="1">
      <alignment horizontal="center"/>
    </xf>
    <xf numFmtId="0" fontId="79" fillId="0" borderId="2" xfId="90" applyFont="1" applyBorder="1" applyAlignment="1">
      <alignment horizontal="center"/>
    </xf>
    <xf numFmtId="0" fontId="79" fillId="0" borderId="7" xfId="90" applyFont="1" applyBorder="1" applyAlignment="1">
      <alignment horizontal="center"/>
    </xf>
    <xf numFmtId="38" fontId="6" fillId="0" borderId="6" xfId="16" applyNumberFormat="1" applyFont="1" applyFill="1" applyBorder="1" applyAlignment="1">
      <alignment horizontal="center" wrapText="1"/>
    </xf>
    <xf numFmtId="0" fontId="6" fillId="0" borderId="7" xfId="16" applyFont="1" applyFill="1" applyBorder="1" applyAlignment="1">
      <alignment horizontal="center" wrapText="1"/>
    </xf>
    <xf numFmtId="0" fontId="6" fillId="0" borderId="6" xfId="16" applyFont="1" applyFill="1" applyBorder="1" applyAlignment="1">
      <alignment horizontal="center" wrapText="1"/>
    </xf>
    <xf numFmtId="0" fontId="13" fillId="3" borderId="0" xfId="16" applyFont="1" applyFill="1" applyBorder="1" applyAlignment="1">
      <alignment horizontal="center"/>
    </xf>
    <xf numFmtId="0" fontId="14" fillId="0" borderId="0" xfId="16" applyFont="1" applyBorder="1" applyAlignment="1">
      <alignment horizontal="center"/>
    </xf>
    <xf numFmtId="0" fontId="10" fillId="0" borderId="0" xfId="16" applyFont="1" applyBorder="1" applyAlignment="1">
      <alignment horizontal="center"/>
    </xf>
    <xf numFmtId="0" fontId="8" fillId="0" borderId="121" xfId="0" applyFont="1" applyFill="1" applyBorder="1" applyAlignment="1">
      <alignment horizontal="center"/>
    </xf>
    <xf numFmtId="0" fontId="8" fillId="0" borderId="113" xfId="0" applyFont="1" applyFill="1" applyBorder="1" applyAlignment="1">
      <alignment horizontal="center"/>
    </xf>
    <xf numFmtId="0" fontId="8" fillId="0" borderId="84" xfId="0" applyFont="1" applyFill="1" applyBorder="1" applyAlignment="1">
      <alignment horizontal="center"/>
    </xf>
    <xf numFmtId="0" fontId="8" fillId="0" borderId="12" xfId="16" applyFont="1" applyFill="1" applyBorder="1" applyAlignment="1">
      <alignment horizontal="center" wrapText="1"/>
    </xf>
    <xf numFmtId="0" fontId="8" fillId="0" borderId="14" xfId="16" applyFont="1" applyFill="1" applyBorder="1" applyAlignment="1">
      <alignment horizontal="center" wrapText="1"/>
    </xf>
    <xf numFmtId="0" fontId="8" fillId="0" borderId="122" xfId="0" applyFont="1" applyFill="1" applyBorder="1" applyAlignment="1">
      <alignment horizontal="center"/>
    </xf>
    <xf numFmtId="0" fontId="8" fillId="0" borderId="127" xfId="0" applyFont="1" applyFill="1" applyBorder="1" applyAlignment="1">
      <alignment horizontal="center"/>
    </xf>
    <xf numFmtId="0" fontId="8" fillId="0" borderId="128" xfId="0" applyFont="1" applyFill="1" applyBorder="1" applyAlignment="1">
      <alignment horizontal="center"/>
    </xf>
    <xf numFmtId="0" fontId="8" fillId="0" borderId="108" xfId="0" applyFont="1" applyFill="1" applyBorder="1" applyAlignment="1">
      <alignment horizontal="center" vertical="center" wrapText="1"/>
    </xf>
    <xf numFmtId="0" fontId="8" fillId="0" borderId="10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4" xfId="0" applyFont="1" applyFill="1" applyBorder="1" applyAlignment="1">
      <alignment horizontal="center" vertical="center" wrapText="1"/>
    </xf>
    <xf numFmtId="0" fontId="8" fillId="0" borderId="111"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0" xfId="0" applyFont="1" applyBorder="1" applyAlignment="1">
      <alignment horizontal="left" wrapText="1"/>
    </xf>
    <xf numFmtId="0" fontId="8" fillId="0" borderId="10" xfId="0" applyFont="1" applyFill="1" applyBorder="1" applyAlignment="1">
      <alignment wrapText="1"/>
    </xf>
    <xf numFmtId="0" fontId="8" fillId="0" borderId="11" xfId="0" applyFont="1" applyFill="1" applyBorder="1" applyAlignment="1">
      <alignment wrapText="1"/>
    </xf>
    <xf numFmtId="0" fontId="8" fillId="0" borderId="108" xfId="0" applyFont="1" applyFill="1" applyBorder="1" applyAlignment="1"/>
    <xf numFmtId="0" fontId="8" fillId="0" borderId="119" xfId="0" applyFont="1" applyFill="1" applyBorder="1" applyAlignment="1">
      <alignment horizontal="center"/>
    </xf>
    <xf numFmtId="0" fontId="8" fillId="0" borderId="120" xfId="0" applyFont="1" applyFill="1" applyBorder="1" applyAlignment="1">
      <alignment horizontal="center" wrapText="1"/>
    </xf>
    <xf numFmtId="0" fontId="8" fillId="0" borderId="117" xfId="0" applyFont="1" applyFill="1" applyBorder="1" applyAlignment="1">
      <alignment horizontal="center" wrapText="1"/>
    </xf>
    <xf numFmtId="0" fontId="8" fillId="0" borderId="118" xfId="0" applyFont="1" applyFill="1" applyBorder="1" applyAlignment="1">
      <alignment horizontal="center" wrapText="1"/>
    </xf>
    <xf numFmtId="41" fontId="6" fillId="0" borderId="6" xfId="0" applyNumberFormat="1" applyFont="1" applyFill="1" applyBorder="1" applyAlignment="1">
      <alignment horizontal="center"/>
    </xf>
    <xf numFmtId="41" fontId="6" fillId="0" borderId="2" xfId="0" applyNumberFormat="1" applyFont="1" applyFill="1" applyBorder="1" applyAlignment="1">
      <alignment horizontal="center"/>
    </xf>
    <xf numFmtId="41" fontId="6" fillId="0" borderId="7" xfId="0" applyNumberFormat="1" applyFont="1" applyFill="1" applyBorder="1" applyAlignment="1">
      <alignment horizontal="center"/>
    </xf>
    <xf numFmtId="0" fontId="6" fillId="0" borderId="0" xfId="0" applyFont="1" applyAlignment="1">
      <alignment horizontal="left" wrapText="1"/>
    </xf>
    <xf numFmtId="0" fontId="8" fillId="0" borderId="63" xfId="16" applyFont="1" applyFill="1" applyBorder="1" applyAlignment="1">
      <alignment horizontal="center" wrapText="1"/>
    </xf>
    <xf numFmtId="0" fontId="8" fillId="0" borderId="65" xfId="16" applyFont="1" applyFill="1" applyBorder="1" applyAlignment="1">
      <alignment horizontal="center" wrapText="1"/>
    </xf>
    <xf numFmtId="38" fontId="56" fillId="0" borderId="3" xfId="0" applyNumberFormat="1" applyFont="1" applyFill="1" applyBorder="1" applyAlignment="1">
      <alignment horizontal="center"/>
    </xf>
    <xf numFmtId="37" fontId="51" fillId="7" borderId="0" xfId="0" applyNumberFormat="1" applyFont="1" applyFill="1" applyBorder="1" applyAlignment="1"/>
    <xf numFmtId="0" fontId="8" fillId="7" borderId="3" xfId="0" applyFont="1" applyFill="1" applyBorder="1" applyAlignment="1">
      <alignment horizontal="center"/>
    </xf>
    <xf numFmtId="0" fontId="7" fillId="7" borderId="3" xfId="0" applyFont="1" applyFill="1" applyBorder="1" applyAlignment="1">
      <alignment horizontal="center"/>
    </xf>
    <xf numFmtId="0" fontId="13" fillId="3" borderId="0" xfId="0" applyFont="1" applyFill="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0" fontId="8" fillId="0" borderId="108" xfId="0" applyFont="1" applyFill="1" applyBorder="1" applyAlignment="1">
      <alignment horizontal="left" vertical="center" wrapText="1"/>
    </xf>
    <xf numFmtId="0" fontId="8" fillId="0" borderId="10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4" xfId="0" applyFont="1" applyFill="1" applyBorder="1" applyAlignment="1">
      <alignment horizontal="left" vertical="center" wrapText="1"/>
    </xf>
    <xf numFmtId="0" fontId="8" fillId="0" borderId="111" xfId="0" applyFont="1" applyFill="1" applyBorder="1" applyAlignment="1">
      <alignment horizontal="left" vertical="center" wrapText="1"/>
    </xf>
    <xf numFmtId="0" fontId="8" fillId="0" borderId="112" xfId="0" applyFont="1" applyFill="1" applyBorder="1" applyAlignment="1">
      <alignment horizontal="left" vertical="center" wrapText="1"/>
    </xf>
    <xf numFmtId="38" fontId="6" fillId="0" borderId="99" xfId="16" applyNumberFormat="1" applyFont="1" applyFill="1" applyBorder="1" applyAlignment="1">
      <alignment horizontal="center" wrapText="1"/>
    </xf>
    <xf numFmtId="38" fontId="6" fillId="0" borderId="100" xfId="16" applyNumberFormat="1" applyFont="1" applyFill="1" applyBorder="1" applyAlignment="1">
      <alignment horizontal="center" wrapText="1"/>
    </xf>
    <xf numFmtId="38" fontId="6" fillId="0" borderId="101" xfId="16" applyNumberFormat="1" applyFont="1" applyFill="1" applyBorder="1" applyAlignment="1">
      <alignment horizontal="center" wrapText="1"/>
    </xf>
    <xf numFmtId="0" fontId="45" fillId="0" borderId="121" xfId="0" applyFont="1" applyBorder="1" applyAlignment="1">
      <alignment horizontal="center"/>
    </xf>
    <xf numFmtId="0" fontId="45" fillId="0" borderId="113" xfId="0" applyFont="1" applyBorder="1" applyAlignment="1">
      <alignment horizontal="center"/>
    </xf>
    <xf numFmtId="0" fontId="45" fillId="0" borderId="84" xfId="0" applyFont="1" applyBorder="1" applyAlignment="1">
      <alignment horizontal="center"/>
    </xf>
    <xf numFmtId="41" fontId="47" fillId="0" borderId="44" xfId="74" applyNumberFormat="1" applyFont="1" applyFill="1" applyBorder="1" applyAlignment="1">
      <alignment horizontal="center" wrapText="1"/>
    </xf>
    <xf numFmtId="41" fontId="47" fillId="0" borderId="14" xfId="74" applyNumberFormat="1" applyFont="1" applyFill="1" applyBorder="1" applyAlignment="1">
      <alignment horizontal="center" wrapText="1"/>
    </xf>
    <xf numFmtId="0" fontId="47" fillId="0" borderId="42" xfId="0" applyFont="1" applyBorder="1" applyAlignment="1">
      <alignment horizontal="center"/>
    </xf>
    <xf numFmtId="0" fontId="47" fillId="0" borderId="49" xfId="0" applyFont="1" applyBorder="1" applyAlignment="1">
      <alignment horizontal="center"/>
    </xf>
    <xf numFmtId="0" fontId="8" fillId="0" borderId="6" xfId="0" applyFont="1" applyBorder="1" applyAlignment="1">
      <alignment horizontal="center" wrapText="1"/>
    </xf>
    <xf numFmtId="0" fontId="8" fillId="0" borderId="2" xfId="0" applyFont="1" applyBorder="1" applyAlignment="1">
      <alignment horizontal="center" wrapText="1"/>
    </xf>
    <xf numFmtId="0" fontId="8" fillId="0" borderId="7" xfId="0" applyFont="1" applyBorder="1" applyAlignment="1">
      <alignment horizont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133" xfId="0" applyFont="1" applyBorder="1" applyAlignment="1">
      <alignment horizontal="center" vertical="center" wrapText="1"/>
    </xf>
    <xf numFmtId="0" fontId="6" fillId="0" borderId="36" xfId="16" applyFont="1" applyBorder="1" applyAlignment="1">
      <alignment horizontal="center" wrapText="1"/>
    </xf>
    <xf numFmtId="0" fontId="6" fillId="0" borderId="43" xfId="16" applyFont="1" applyBorder="1" applyAlignment="1">
      <alignment horizontal="center" wrapText="1"/>
    </xf>
    <xf numFmtId="0" fontId="6" fillId="0" borderId="46" xfId="16" applyFont="1" applyBorder="1" applyAlignment="1">
      <alignment horizontal="center" wrapText="1"/>
    </xf>
    <xf numFmtId="0" fontId="47" fillId="0" borderId="37" xfId="0" applyFont="1" applyBorder="1" applyAlignment="1">
      <alignment horizontal="center" wrapText="1"/>
    </xf>
    <xf numFmtId="0" fontId="47" fillId="0" borderId="44" xfId="0" applyFont="1" applyBorder="1" applyAlignment="1">
      <alignment horizontal="center" wrapText="1"/>
    </xf>
    <xf numFmtId="0" fontId="47" fillId="0" borderId="14" xfId="0" applyFont="1" applyBorder="1" applyAlignment="1">
      <alignment horizontal="center" wrapText="1"/>
    </xf>
    <xf numFmtId="0" fontId="47" fillId="0" borderId="38" xfId="0" applyFont="1" applyBorder="1" applyAlignment="1">
      <alignment horizontal="center" wrapText="1"/>
    </xf>
    <xf numFmtId="0" fontId="6" fillId="0" borderId="12" xfId="0" applyFont="1" applyFill="1" applyBorder="1" applyAlignment="1">
      <alignment horizontal="center" wrapText="1"/>
    </xf>
    <xf numFmtId="0" fontId="6" fillId="0" borderId="14" xfId="0" applyFont="1" applyFill="1" applyBorder="1" applyAlignment="1">
      <alignment horizontal="center" wrapText="1"/>
    </xf>
    <xf numFmtId="0" fontId="8" fillId="0" borderId="69" xfId="0" applyFont="1" applyBorder="1" applyAlignment="1">
      <alignment horizontal="center"/>
    </xf>
    <xf numFmtId="0" fontId="8" fillId="0" borderId="70" xfId="0" applyFont="1" applyBorder="1" applyAlignment="1">
      <alignment horizontal="center"/>
    </xf>
    <xf numFmtId="0" fontId="8" fillId="0" borderId="71" xfId="0" applyFont="1" applyBorder="1" applyAlignment="1">
      <alignment horizontal="center"/>
    </xf>
    <xf numFmtId="0" fontId="45" fillId="6" borderId="6" xfId="0" applyFont="1" applyFill="1" applyBorder="1" applyAlignment="1">
      <alignment horizontal="center"/>
    </xf>
    <xf numFmtId="0" fontId="8" fillId="0" borderId="7" xfId="0" applyFont="1" applyBorder="1" applyAlignment="1"/>
    <xf numFmtId="0" fontId="8" fillId="0" borderId="33" xfId="16" applyFont="1" applyBorder="1" applyAlignment="1">
      <alignment horizontal="center"/>
    </xf>
    <xf numFmtId="0" fontId="8" fillId="0" borderId="34" xfId="16" applyFont="1" applyBorder="1" applyAlignment="1">
      <alignment horizontal="center"/>
    </xf>
    <xf numFmtId="0" fontId="48" fillId="0" borderId="34" xfId="0" applyFont="1" applyBorder="1" applyAlignment="1">
      <alignment horizontal="center"/>
    </xf>
    <xf numFmtId="0" fontId="49" fillId="0" borderId="35" xfId="0" applyFont="1" applyBorder="1" applyAlignment="1"/>
    <xf numFmtId="0" fontId="47" fillId="0" borderId="39" xfId="0" applyFont="1" applyBorder="1" applyAlignment="1">
      <alignment horizontal="center" wrapText="1"/>
    </xf>
    <xf numFmtId="0" fontId="47" fillId="0" borderId="45" xfId="0" applyFont="1" applyBorder="1" applyAlignment="1">
      <alignment horizontal="center" wrapText="1"/>
    </xf>
    <xf numFmtId="0" fontId="47" fillId="0" borderId="47" xfId="0" applyFont="1" applyBorder="1" applyAlignment="1">
      <alignment horizontal="center" wrapText="1"/>
    </xf>
    <xf numFmtId="0" fontId="47" fillId="0" borderId="43" xfId="0" applyFont="1" applyBorder="1" applyAlignment="1">
      <alignment vertical="top" wrapText="1"/>
    </xf>
    <xf numFmtId="0" fontId="47" fillId="0" borderId="0" xfId="0" applyFont="1" applyBorder="1" applyAlignment="1">
      <alignment vertical="top" wrapText="1"/>
    </xf>
    <xf numFmtId="0" fontId="11" fillId="0" borderId="62" xfId="0" applyFont="1" applyBorder="1" applyAlignment="1">
      <alignment wrapText="1"/>
    </xf>
    <xf numFmtId="0" fontId="11" fillId="0" borderId="0" xfId="0" applyFont="1" applyBorder="1" applyAlignment="1">
      <alignment wrapText="1"/>
    </xf>
    <xf numFmtId="0" fontId="11" fillId="0" borderId="41" xfId="0" applyFont="1" applyBorder="1" applyAlignment="1">
      <alignment wrapText="1"/>
    </xf>
    <xf numFmtId="42" fontId="8" fillId="0" borderId="86" xfId="0" applyNumberFormat="1" applyFont="1" applyBorder="1" applyAlignment="1">
      <alignment horizontal="center"/>
    </xf>
    <xf numFmtId="42" fontId="8" fillId="0" borderId="87" xfId="0" applyNumberFormat="1" applyFont="1" applyBorder="1" applyAlignment="1">
      <alignment horizontal="center"/>
    </xf>
    <xf numFmtId="42" fontId="8" fillId="0" borderId="88" xfId="0" applyNumberFormat="1" applyFont="1" applyBorder="1" applyAlignment="1">
      <alignment horizontal="center"/>
    </xf>
    <xf numFmtId="0" fontId="8" fillId="0" borderId="6"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6" fillId="33" borderId="65" xfId="0" applyFont="1" applyFill="1" applyBorder="1" applyAlignment="1"/>
    <xf numFmtId="0" fontId="0" fillId="33" borderId="48" xfId="0" applyFill="1" applyBorder="1" applyAlignment="1"/>
    <xf numFmtId="0" fontId="64" fillId="33" borderId="65" xfId="82" applyFill="1" applyBorder="1" applyAlignment="1"/>
    <xf numFmtId="0" fontId="8" fillId="7" borderId="3" xfId="16" applyFont="1" applyFill="1" applyBorder="1" applyAlignment="1">
      <alignment horizontal="center"/>
    </xf>
    <xf numFmtId="0" fontId="6" fillId="7" borderId="3" xfId="16" applyFont="1" applyFill="1" applyBorder="1" applyAlignment="1">
      <alignment horizontal="center"/>
    </xf>
    <xf numFmtId="37" fontId="6" fillId="33" borderId="65" xfId="0" applyNumberFormat="1" applyFont="1" applyFill="1" applyBorder="1" applyAlignment="1"/>
    <xf numFmtId="0" fontId="10" fillId="0" borderId="12" xfId="16" applyFont="1" applyBorder="1" applyAlignment="1">
      <alignment horizontal="center" vertical="top" wrapText="1"/>
    </xf>
    <xf numFmtId="0" fontId="10" fillId="0" borderId="14" xfId="16" applyFont="1" applyBorder="1" applyAlignment="1">
      <alignment horizontal="center" vertical="top" wrapText="1"/>
    </xf>
    <xf numFmtId="42" fontId="6" fillId="0" borderId="12" xfId="16" applyNumberFormat="1" applyFill="1" applyBorder="1" applyAlignment="1">
      <alignment horizontal="center" vertical="center"/>
    </xf>
    <xf numFmtId="42" fontId="6" fillId="0" borderId="44" xfId="16" applyNumberFormat="1" applyFill="1" applyBorder="1" applyAlignment="1">
      <alignment horizontal="center" vertical="center"/>
    </xf>
    <xf numFmtId="42" fontId="6" fillId="0" borderId="14" xfId="16" applyNumberFormat="1" applyFill="1" applyBorder="1" applyAlignment="1">
      <alignment horizontal="center" vertical="center"/>
    </xf>
    <xf numFmtId="0" fontId="6" fillId="7" borderId="6" xfId="0" applyFont="1" applyFill="1" applyBorder="1" applyAlignment="1">
      <alignment horizontal="center"/>
    </xf>
    <xf numFmtId="0" fontId="6" fillId="7" borderId="2" xfId="0" applyFont="1" applyFill="1" applyBorder="1" applyAlignment="1">
      <alignment horizontal="center"/>
    </xf>
    <xf numFmtId="0" fontId="6" fillId="7" borderId="7" xfId="0" applyFont="1" applyFill="1" applyBorder="1" applyAlignment="1">
      <alignment horizontal="center"/>
    </xf>
    <xf numFmtId="0" fontId="11" fillId="36" borderId="6" xfId="16" applyFont="1" applyFill="1" applyBorder="1" applyAlignment="1">
      <alignment horizontal="center" vertical="top" wrapText="1"/>
    </xf>
    <xf numFmtId="0" fontId="11" fillId="36" borderId="2" xfId="16" applyFont="1" applyFill="1" applyBorder="1" applyAlignment="1">
      <alignment horizontal="center" vertical="top" wrapText="1"/>
    </xf>
    <xf numFmtId="0" fontId="11" fillId="36" borderId="7" xfId="16" applyFont="1" applyFill="1" applyBorder="1" applyAlignment="1">
      <alignment horizontal="center" vertical="top" wrapText="1"/>
    </xf>
    <xf numFmtId="0" fontId="0" fillId="7" borderId="6" xfId="0" applyFill="1" applyBorder="1" applyAlignment="1">
      <alignment horizontal="center"/>
    </xf>
    <xf numFmtId="0" fontId="0" fillId="7" borderId="7" xfId="0" applyFill="1"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63" xfId="0" applyBorder="1" applyAlignment="1">
      <alignment horizontal="center"/>
    </xf>
    <xf numFmtId="0" fontId="0" fillId="0" borderId="52" xfId="0" applyBorder="1" applyAlignment="1">
      <alignment horizontal="center"/>
    </xf>
  </cellXfs>
  <cellStyles count="93">
    <cellStyle name="20% - Accent1 2" xfId="27"/>
    <cellStyle name="20% - Accent2 2" xfId="28"/>
    <cellStyle name="20% - Accent3 2" xfId="29"/>
    <cellStyle name="20% - Accent4 2" xfId="30"/>
    <cellStyle name="20% - Accent5 2" xfId="31"/>
    <cellStyle name="20% - Accent6 2" xfId="32"/>
    <cellStyle name="40% - Accent1 2" xfId="33"/>
    <cellStyle name="40% - Accent2 2" xfId="34"/>
    <cellStyle name="40% - Accent3 2" xfId="35"/>
    <cellStyle name="40% - Accent4 2" xfId="36"/>
    <cellStyle name="40% - Accent5 2" xfId="37"/>
    <cellStyle name="40% - Accent6 2" xfId="38"/>
    <cellStyle name="60% - Accent1 2" xfId="39"/>
    <cellStyle name="60% - Accent2 2" xfId="40"/>
    <cellStyle name="60% - Accent3 2" xfId="41"/>
    <cellStyle name="60% - Accent4 2" xfId="42"/>
    <cellStyle name="60% - Accent5 2" xfId="43"/>
    <cellStyle name="60% - Accent6 2" xfId="44"/>
    <cellStyle name="Accent1 2" xfId="45"/>
    <cellStyle name="Accent2 2" xfId="46"/>
    <cellStyle name="Accent3 2" xfId="47"/>
    <cellStyle name="Accent4 2" xfId="48"/>
    <cellStyle name="Accent5 2" xfId="49"/>
    <cellStyle name="Accent6 2" xfId="50"/>
    <cellStyle name="Bad 2" xfId="51"/>
    <cellStyle name="Calculation 2" xfId="52"/>
    <cellStyle name="Check Cell 2" xfId="53"/>
    <cellStyle name="Comma" xfId="1" builtinId="3"/>
    <cellStyle name="Comma 2" xfId="81"/>
    <cellStyle name="Comma 3" xfId="92"/>
    <cellStyle name="Comma 3 2" xfId="87"/>
    <cellStyle name="Comma_AUSAFR01" xfId="75"/>
    <cellStyle name="Comma0" xfId="2"/>
    <cellStyle name="Comma0 2" xfId="9"/>
    <cellStyle name="Comma0 3" xfId="17"/>
    <cellStyle name="Currency" xfId="25" builtinId="4"/>
    <cellStyle name="Currency0" xfId="3"/>
    <cellStyle name="Currency0 2" xfId="10"/>
    <cellStyle name="Currency0 3" xfId="18"/>
    <cellStyle name="Date" xfId="4"/>
    <cellStyle name="Date 2" xfId="11"/>
    <cellStyle name="Date 3" xfId="19"/>
    <cellStyle name="Explanatory Text 2" xfId="54"/>
    <cellStyle name="Fixed" xfId="5"/>
    <cellStyle name="Fixed 2" xfId="12"/>
    <cellStyle name="Fixed 3" xfId="20"/>
    <cellStyle name="Good 2" xfId="55"/>
    <cellStyle name="Heading 1" xfId="6" builtinId="16" customBuiltin="1"/>
    <cellStyle name="Heading 1 2" xfId="13"/>
    <cellStyle name="Heading 1 3" xfId="21"/>
    <cellStyle name="Heading 2" xfId="7" builtinId="17" customBuiltin="1"/>
    <cellStyle name="Heading 2 2" xfId="14"/>
    <cellStyle name="Heading 2 3" xfId="22"/>
    <cellStyle name="Heading 3 2" xfId="56"/>
    <cellStyle name="Heading 4 2" xfId="57"/>
    <cellStyle name="Hyperlink" xfId="82" builtinId="8"/>
    <cellStyle name="Hyperlink 2" xfId="83"/>
    <cellStyle name="Input 2" xfId="58"/>
    <cellStyle name="Linked Cell 2" xfId="59"/>
    <cellStyle name="Neutral 2" xfId="60"/>
    <cellStyle name="Normal" xfId="0" builtinId="0"/>
    <cellStyle name="Normal 10" xfId="88"/>
    <cellStyle name="Normal 11" xfId="90"/>
    <cellStyle name="Normal 2" xfId="16"/>
    <cellStyle name="Normal 2 2" xfId="61"/>
    <cellStyle name="Normal 2 2 2" xfId="76"/>
    <cellStyle name="Normal 2 3" xfId="62"/>
    <cellStyle name="Normal 2 3 2" xfId="80"/>
    <cellStyle name="Normal 2 4" xfId="63"/>
    <cellStyle name="Normal 2 5" xfId="64"/>
    <cellStyle name="Normal 2 6" xfId="65"/>
    <cellStyle name="Normal 3" xfId="66"/>
    <cellStyle name="Normal 3 2" xfId="78"/>
    <cellStyle name="Normal 3 2 2" xfId="79"/>
    <cellStyle name="Normal 3 2 3" xfId="86"/>
    <cellStyle name="Normal 3 3" xfId="77"/>
    <cellStyle name="Normal 4" xfId="67"/>
    <cellStyle name="Normal 4 2" xfId="84"/>
    <cellStyle name="Normal 5" xfId="26"/>
    <cellStyle name="Normal 6" xfId="68"/>
    <cellStyle name="Normal 7" xfId="69"/>
    <cellStyle name="Normal 8" xfId="85"/>
    <cellStyle name="Normal 9" xfId="89"/>
    <cellStyle name="Normal_AUSAFR01" xfId="74"/>
    <cellStyle name="Note 2" xfId="70"/>
    <cellStyle name="Output 2" xfId="71"/>
    <cellStyle name="Percent 2" xfId="24"/>
    <cellStyle name="Percent 3" xfId="91"/>
    <cellStyle name="Title 2" xfId="72"/>
    <cellStyle name="Total" xfId="8" builtinId="25" customBuiltin="1"/>
    <cellStyle name="Total 2" xfId="15"/>
    <cellStyle name="Total 3" xfId="23"/>
    <cellStyle name="Warning Text 2" xfId="73"/>
  </cellStyles>
  <dxfs count="537">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CCFFCC"/>
      <color rgb="FFCCFFFF"/>
      <color rgb="FFFF66FF"/>
      <color rgb="FFFFFFFF"/>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a:t>
            </a:r>
          </a:p>
        </c:rich>
      </c:tx>
      <c:layout>
        <c:manualLayout>
          <c:xMode val="edge"/>
          <c:yMode val="edge"/>
          <c:x val="0.34929810074318729"/>
          <c:y val="2.6143824223631821E-2"/>
        </c:manualLayout>
      </c:layout>
      <c:overlay val="0"/>
      <c:spPr>
        <a:noFill/>
        <a:ln w="25400">
          <a:noFill/>
        </a:ln>
      </c:spPr>
    </c:title>
    <c:autoTitleDeleted val="0"/>
    <c:plotArea>
      <c:layout>
        <c:manualLayout>
          <c:layoutTarget val="inner"/>
          <c:xMode val="edge"/>
          <c:yMode val="edge"/>
          <c:x val="0.39636663914121917"/>
          <c:y val="0.35032724459666642"/>
          <c:w val="0.20809248554913981"/>
          <c:h val="0.32941218521777926"/>
        </c:manualLayout>
      </c:layout>
      <c:pieChart>
        <c:varyColors val="1"/>
        <c:ser>
          <c:idx val="0"/>
          <c:order val="0"/>
          <c:tx>
            <c:strRef>
              <c:f>'Smmy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EEE6-4450-B3B8-BF5B346CD87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EEE6-4450-B3B8-BF5B346CD87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EEE6-4450-B3B8-BF5B346CD87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EEE6-4450-B3B8-BF5B346CD87C}"/>
              </c:ext>
            </c:extLst>
          </c:dPt>
          <c:dLbls>
            <c:dLbl>
              <c:idx val="0"/>
              <c:layout>
                <c:manualLayout>
                  <c:x val="-0.17251074305579059"/>
                  <c:y val="-8.39170348898442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EEE6-4450-B3B8-BF5B346CD87C}"/>
                </c:ext>
                <c:ext xmlns:c15="http://schemas.microsoft.com/office/drawing/2012/chart" uri="{CE6537A1-D6FC-4f65-9D91-7224C49458BB}"/>
              </c:extLst>
            </c:dLbl>
            <c:dLbl>
              <c:idx val="1"/>
              <c:layout>
                <c:manualLayout>
                  <c:x val="6.5184632513516319E-2"/>
                  <c:y val="-9.20041314401156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EEE6-4450-B3B8-BF5B346CD87C}"/>
                </c:ext>
                <c:ext xmlns:c15="http://schemas.microsoft.com/office/drawing/2012/chart" uri="{CE6537A1-D6FC-4f65-9D91-7224C49458BB}"/>
              </c:extLst>
            </c:dLbl>
            <c:dLbl>
              <c:idx val="2"/>
              <c:layout>
                <c:manualLayout>
                  <c:x val="9.0793761099309533E-2"/>
                  <c:y val="3.11316639219478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EEE6-4450-B3B8-BF5B346CD87C}"/>
                </c:ext>
                <c:ext xmlns:c15="http://schemas.microsoft.com/office/drawing/2012/chart" uri="{CE6537A1-D6FC-4f65-9D91-7224C49458BB}"/>
              </c:extLst>
            </c:dLbl>
            <c:dLbl>
              <c:idx val="3"/>
              <c:layout>
                <c:manualLayout>
                  <c:x val="4.0632014595334144E-2"/>
                  <c:y val="6.94839230489357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EEE6-4450-B3B8-BF5B346CD87C}"/>
                </c:ext>
                <c:ext xmlns:c15="http://schemas.microsoft.com/office/drawing/2012/chart" uri="{CE6537A1-D6FC-4f65-9D91-7224C49458BB}"/>
              </c:extLst>
            </c:dLbl>
            <c:dLbl>
              <c:idx val="4"/>
              <c:layout>
                <c:manualLayout>
                  <c:x val="-4.0172427242033258E-2"/>
                  <c:y val="8.70485276658081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EEE6-4450-B3B8-BF5B346CD87C}"/>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Chts'!$C$11:$C$15</c:f>
              <c:strCache>
                <c:ptCount val="5"/>
                <c:pt idx="0">
                  <c:v>State of Texas</c:v>
                </c:pt>
                <c:pt idx="1">
                  <c:v>Student &amp; Parent</c:v>
                </c:pt>
                <c:pt idx="2">
                  <c:v>Federal Government</c:v>
                </c:pt>
                <c:pt idx="3">
                  <c:v>Institutional Resources</c:v>
                </c:pt>
                <c:pt idx="4">
                  <c:v>Hospitals, Clinics, Professional Fees</c:v>
                </c:pt>
              </c:strCache>
            </c:strRef>
          </c:cat>
          <c:val>
            <c:numRef>
              <c:f>'Smmy Chts'!$D$11:$D$15</c:f>
              <c:numCache>
                <c:formatCode>"$"#,##0</c:formatCode>
                <c:ptCount val="5"/>
                <c:pt idx="0">
                  <c:v>2016043236</c:v>
                </c:pt>
                <c:pt idx="1">
                  <c:v>306005779</c:v>
                </c:pt>
                <c:pt idx="2">
                  <c:v>892704561</c:v>
                </c:pt>
                <c:pt idx="3">
                  <c:v>3349315236</c:v>
                </c:pt>
                <c:pt idx="4">
                  <c:v>8484715166</c:v>
                </c:pt>
              </c:numCache>
            </c:numRef>
          </c:val>
          <c:extLst xmlns:c16r2="http://schemas.microsoft.com/office/drawing/2015/06/chart">
            <c:ext xmlns:c16="http://schemas.microsoft.com/office/drawing/2014/chart" uri="{C3380CC4-5D6E-409C-BE32-E72D297353CC}">
              <c16:uniqueId val="{00000009-EEE6-4450-B3B8-BF5B346CD87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3953E-2"/>
        </c:manualLayout>
      </c:layout>
      <c:overlay val="0"/>
      <c:spPr>
        <a:noFill/>
        <a:ln w="25400">
          <a:noFill/>
        </a:ln>
      </c:spPr>
    </c:title>
    <c:autoTitleDeleted val="0"/>
    <c:plotArea>
      <c:layout>
        <c:manualLayout>
          <c:layoutTarget val="inner"/>
          <c:xMode val="edge"/>
          <c:yMode val="edge"/>
          <c:x val="0.39140509096943826"/>
          <c:y val="0.33510392393448796"/>
          <c:w val="0.21856763755744443"/>
          <c:h val="0.33760912080003641"/>
        </c:manualLayout>
      </c:layout>
      <c:pieChart>
        <c:varyColors val="1"/>
        <c:ser>
          <c:idx val="0"/>
          <c:order val="0"/>
          <c:tx>
            <c:strRef>
              <c:f>'HSH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C5E-4719-BF71-4FC1FEBCD66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C5E-4719-BF71-4FC1FEBCD66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C5E-4719-BF71-4FC1FEBCD66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C5E-4719-BF71-4FC1FEBCD66C}"/>
              </c:ext>
            </c:extLst>
          </c:dPt>
          <c:dLbls>
            <c:dLbl>
              <c:idx val="0"/>
              <c:layout>
                <c:manualLayout>
                  <c:x val="6.2853326092859083E-2"/>
                  <c:y val="-7.47755332978587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DC5E-4719-BF71-4FC1FEBCD66C}"/>
                </c:ext>
                <c:ext xmlns:c15="http://schemas.microsoft.com/office/drawing/2012/chart" uri="{CE6537A1-D6FC-4f65-9D91-7224C49458BB}"/>
              </c:extLst>
            </c:dLbl>
            <c:dLbl>
              <c:idx val="1"/>
              <c:layout>
                <c:manualLayout>
                  <c:x val="9.8222595529614584E-2"/>
                  <c:y val="2.00974897199712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C5E-4719-BF71-4FC1FEBCD66C}"/>
                </c:ext>
                <c:ext xmlns:c15="http://schemas.microsoft.com/office/drawing/2012/chart" uri="{CE6537A1-D6FC-4f65-9D91-7224C49458BB}"/>
              </c:extLst>
            </c:dLbl>
            <c:dLbl>
              <c:idx val="2"/>
              <c:layout>
                <c:manualLayout>
                  <c:x val="5.5211804940474007E-2"/>
                  <c:y val="0.14474491071863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DC5E-4719-BF71-4FC1FEBCD66C}"/>
                </c:ext>
                <c:ext xmlns:c15="http://schemas.microsoft.com/office/drawing/2012/chart" uri="{CE6537A1-D6FC-4f65-9D91-7224C49458BB}"/>
              </c:extLst>
            </c:dLbl>
            <c:dLbl>
              <c:idx val="3"/>
              <c:layout>
                <c:manualLayout>
                  <c:x val="-8.5267108625435836E-2"/>
                  <c:y val="6.85679926588424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C5E-4719-BF71-4FC1FEBCD66C}"/>
                </c:ext>
                <c:ext xmlns:c15="http://schemas.microsoft.com/office/drawing/2012/chart" uri="{CE6537A1-D6FC-4f65-9D91-7224C49458BB}"/>
              </c:extLst>
            </c:dLbl>
            <c:dLbl>
              <c:idx val="4"/>
              <c:layout>
                <c:manualLayout>
                  <c:x val="-7.8361556982795302E-2"/>
                  <c:y val="-2.70939288303644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DC5E-4719-BF71-4FC1FEBCD66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'HSH Chts'!$C$11:$C$15</c:f>
              <c:strCache>
                <c:ptCount val="5"/>
                <c:pt idx="0">
                  <c:v>State of Texas</c:v>
                </c:pt>
                <c:pt idx="1">
                  <c:v>Student &amp; Parent</c:v>
                </c:pt>
                <c:pt idx="2">
                  <c:v>Federal Government</c:v>
                </c:pt>
                <c:pt idx="3">
                  <c:v>Institutional Resources</c:v>
                </c:pt>
                <c:pt idx="4">
                  <c:v>Hospitals, Clinics, Professional Fees</c:v>
                </c:pt>
              </c:strCache>
            </c:strRef>
          </c:cat>
          <c:val>
            <c:numRef>
              <c:f>'HSH Chts'!$D$11:$D$15</c:f>
              <c:numCache>
                <c:formatCode>"$"#,##0</c:formatCode>
                <c:ptCount val="5"/>
                <c:pt idx="0">
                  <c:v>233613776</c:v>
                </c:pt>
                <c:pt idx="1">
                  <c:v>56636942</c:v>
                </c:pt>
                <c:pt idx="2">
                  <c:v>156372343</c:v>
                </c:pt>
                <c:pt idx="3">
                  <c:v>798660327</c:v>
                </c:pt>
                <c:pt idx="4">
                  <c:v>440859242</c:v>
                </c:pt>
              </c:numCache>
            </c:numRef>
          </c:val>
          <c:extLst xmlns:c16r2="http://schemas.microsoft.com/office/drawing/2015/06/chart">
            <c:ext xmlns:c16="http://schemas.microsoft.com/office/drawing/2014/chart" uri="{C3380CC4-5D6E-409C-BE32-E72D297353CC}">
              <c16:uniqueId val="{00000009-DC5E-4719-BF71-4FC1FEBCD66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459364682563047"/>
          <c:y val="0.32318645483435143"/>
          <c:w val="0.21909350118677254"/>
          <c:h val="0.34028039158947093"/>
        </c:manualLayout>
      </c:layout>
      <c:pieChart>
        <c:varyColors val="1"/>
        <c:ser>
          <c:idx val="0"/>
          <c:order val="0"/>
          <c:tx>
            <c:strRef>
              <c:f>'HSH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2C72-4A23-8C77-C940505807F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2C72-4A23-8C77-C940505807F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C72-4A23-8C77-C940505807F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2C72-4A23-8C77-C940505807F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2C72-4A23-8C77-C940505807F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2C72-4A23-8C77-C940505807F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2C72-4A23-8C77-C940505807F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2C72-4A23-8C77-C940505807F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2C72-4A23-8C77-C940505807F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2C72-4A23-8C77-C940505807F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2C72-4A23-8C77-C940505807F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2C72-4A23-8C77-C940505807F3}"/>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2C72-4A23-8C77-C940505807F3}"/>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2C72-4A23-8C77-C940505807F3}"/>
              </c:ext>
            </c:extLst>
          </c:dPt>
          <c:dLbls>
            <c:dLbl>
              <c:idx val="0"/>
              <c:layout>
                <c:manualLayout>
                  <c:x val="-3.3061381592185364E-2"/>
                  <c:y val="-0.1217303404245665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2C72-4A23-8C77-C940505807F3}"/>
                </c:ext>
                <c:ext xmlns:c15="http://schemas.microsoft.com/office/drawing/2012/chart" uri="{CE6537A1-D6FC-4f65-9D91-7224C49458BB}"/>
              </c:extLst>
            </c:dLbl>
            <c:dLbl>
              <c:idx val="1"/>
              <c:layout>
                <c:manualLayout>
                  <c:x val="0.12732152509452155"/>
                  <c:y val="-6.05944279683648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2C72-4A23-8C77-C940505807F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2C72-4A23-8C77-C940505807F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2C72-4A23-8C77-C940505807F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2C72-4A23-8C77-C940505807F3}"/>
                </c:ext>
                <c:ext xmlns:c15="http://schemas.microsoft.com/office/drawing/2012/chart" uri="{CE6537A1-D6FC-4f65-9D91-7224C49458BB}"/>
              </c:extLst>
            </c:dLbl>
            <c:dLbl>
              <c:idx val="5"/>
              <c:layout>
                <c:manualLayout>
                  <c:x val="0.15739629973890995"/>
                  <c:y val="7.98551393774160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2C72-4A23-8C77-C940505807F3}"/>
                </c:ext>
                <c:ext xmlns:c15="http://schemas.microsoft.com/office/drawing/2012/chart" uri="{CE6537A1-D6FC-4f65-9D91-7224C49458BB}"/>
              </c:extLst>
            </c:dLbl>
            <c:dLbl>
              <c:idx val="6"/>
              <c:layout>
                <c:manualLayout>
                  <c:x val="0.11718302239391262"/>
                  <c:y val="0.1449112552899534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2C72-4A23-8C77-C940505807F3}"/>
                </c:ext>
                <c:ext xmlns:c15="http://schemas.microsoft.com/office/drawing/2012/chart" uri="{CE6537A1-D6FC-4f65-9D91-7224C49458BB}"/>
              </c:extLst>
            </c:dLbl>
            <c:dLbl>
              <c:idx val="7"/>
              <c:layout>
                <c:manualLayout>
                  <c:x val="9.5446123405791561E-3"/>
                  <c:y val="0.243428828820436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2C72-4A23-8C77-C940505807F3}"/>
                </c:ext>
                <c:ext xmlns:c15="http://schemas.microsoft.com/office/drawing/2012/chart" uri="{CE6537A1-D6FC-4f65-9D91-7224C49458BB}"/>
              </c:extLst>
            </c:dLbl>
            <c:dLbl>
              <c:idx val="8"/>
              <c:layout>
                <c:manualLayout>
                  <c:x val="-0.15775219796774995"/>
                  <c:y val="0.112789986803944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2C72-4A23-8C77-C940505807F3}"/>
                </c:ext>
                <c:ext xmlns:c15="http://schemas.microsoft.com/office/drawing/2012/chart" uri="{CE6537A1-D6FC-4f65-9D91-7224C49458BB}"/>
              </c:extLst>
            </c:dLbl>
            <c:dLbl>
              <c:idx val="9"/>
              <c:layout>
                <c:manualLayout>
                  <c:x val="-6.887725434989618E-2"/>
                  <c:y val="0.120950716948599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2C72-4A23-8C77-C940505807F3}"/>
                </c:ext>
                <c:ext xmlns:c15="http://schemas.microsoft.com/office/drawing/2012/chart" uri="{CE6537A1-D6FC-4f65-9D91-7224C49458BB}"/>
              </c:extLst>
            </c:dLbl>
            <c:dLbl>
              <c:idx val="10"/>
              <c:layout>
                <c:manualLayout>
                  <c:x val="-0.1269299896528869"/>
                  <c:y val="6.48674076670538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2C72-4A23-8C77-C940505807F3}"/>
                </c:ext>
                <c:ext xmlns:c15="http://schemas.microsoft.com/office/drawing/2012/chart" uri="{CE6537A1-D6FC-4f65-9D91-7224C49458BB}"/>
              </c:extLst>
            </c:dLbl>
            <c:dLbl>
              <c:idx val="11"/>
              <c:layout>
                <c:manualLayout>
                  <c:x val="-0.15075327684645545"/>
                  <c:y val="-5.09408593466997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2C72-4A23-8C77-C940505807F3}"/>
                </c:ext>
                <c:ext xmlns:c15="http://schemas.microsoft.com/office/drawing/2012/chart" uri="{CE6537A1-D6FC-4f65-9D91-7224C49458BB}"/>
              </c:extLst>
            </c:dLbl>
            <c:dLbl>
              <c:idx val="12"/>
              <c:layout>
                <c:manualLayout>
                  <c:x val="-0.11737713146785793"/>
                  <c:y val="-0.165943961163362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2C72-4A23-8C77-C940505807F3}"/>
                </c:ext>
                <c:ext xmlns:c15="http://schemas.microsoft.com/office/drawing/2012/chart" uri="{CE6537A1-D6FC-4f65-9D91-7224C49458BB}"/>
              </c:extLst>
            </c:dLbl>
            <c:dLbl>
              <c:idx val="13"/>
              <c:layout>
                <c:manualLayout>
                  <c:x val="-7.0772471655857497E-2"/>
                  <c:y val="-0.108152511720269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2C72-4A23-8C77-C940505807F3}"/>
                </c:ext>
                <c:ext xmlns:c15="http://schemas.microsoft.com/office/drawing/2012/chart" uri="{CE6537A1-D6FC-4f65-9D91-7224C49458BB}"/>
              </c:extLst>
            </c:dLbl>
            <c:dLbl>
              <c:idx val="14"/>
              <c:layout>
                <c:manualLayout>
                  <c:x val="-2.9245830327628251E-2"/>
                  <c:y val="-7.34697090963233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2C72-4A23-8C77-C940505807F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'HSH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'HSH Chts'!$D$53:$D$67</c:f>
              <c:numCache>
                <c:formatCode>"$"#,##0</c:formatCode>
                <c:ptCount val="15"/>
                <c:pt idx="0">
                  <c:v>214802895</c:v>
                </c:pt>
                <c:pt idx="1">
                  <c:v>18810881</c:v>
                </c:pt>
                <c:pt idx="3">
                  <c:v>0</c:v>
                </c:pt>
                <c:pt idx="4">
                  <c:v>0</c:v>
                </c:pt>
                <c:pt idx="5">
                  <c:v>56636942</c:v>
                </c:pt>
                <c:pt idx="6">
                  <c:v>156372343</c:v>
                </c:pt>
                <c:pt idx="7">
                  <c:v>57171456</c:v>
                </c:pt>
                <c:pt idx="8">
                  <c:v>436379382</c:v>
                </c:pt>
                <c:pt idx="9">
                  <c:v>164397593</c:v>
                </c:pt>
                <c:pt idx="10">
                  <c:v>37579867</c:v>
                </c:pt>
                <c:pt idx="11">
                  <c:v>27162590</c:v>
                </c:pt>
                <c:pt idx="12">
                  <c:v>75969439</c:v>
                </c:pt>
                <c:pt idx="13">
                  <c:v>368873422</c:v>
                </c:pt>
                <c:pt idx="14">
                  <c:v>71985820</c:v>
                </c:pt>
              </c:numCache>
            </c:numRef>
          </c:val>
          <c:extLst xmlns:c16r2="http://schemas.microsoft.com/office/drawing/2015/06/chart">
            <c:ext xmlns:c16="http://schemas.microsoft.com/office/drawing/2014/chart" uri="{C3380CC4-5D6E-409C-BE32-E72D297353CC}">
              <c16:uniqueId val="{0000001D-2C72-4A23-8C77-C940505807F3}"/>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86"/>
          <c:y val="2.4423337856174756E-2"/>
        </c:manualLayout>
      </c:layout>
      <c:overlay val="0"/>
      <c:spPr>
        <a:noFill/>
        <a:ln w="25400">
          <a:noFill/>
        </a:ln>
      </c:spPr>
    </c:title>
    <c:autoTitleDeleted val="0"/>
    <c:plotArea>
      <c:layout>
        <c:manualLayout>
          <c:layoutTarget val="inner"/>
          <c:xMode val="edge"/>
          <c:yMode val="edge"/>
          <c:x val="0.38972780573976096"/>
          <c:y val="0.33453913853121203"/>
          <c:w val="0.22164404609208921"/>
          <c:h val="0.35546045592270437"/>
        </c:manualLayout>
      </c:layout>
      <c:pieChart>
        <c:varyColors val="1"/>
        <c:ser>
          <c:idx val="0"/>
          <c:order val="0"/>
          <c:tx>
            <c:strRef>
              <c:f>'HSH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E44-4085-AC7C-B0EB535AF07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E44-4085-AC7C-B0EB535AF07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E44-4085-AC7C-B0EB535AF07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E44-4085-AC7C-B0EB535AF07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E44-4085-AC7C-B0EB535AF07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E44-4085-AC7C-B0EB535AF07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E44-4085-AC7C-B0EB535AF07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E44-4085-AC7C-B0EB535AF07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E44-4085-AC7C-B0EB535AF07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E44-4085-AC7C-B0EB535AF07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E44-4085-AC7C-B0EB535AF07C}"/>
              </c:ext>
            </c:extLst>
          </c:dPt>
          <c:dLbls>
            <c:dLbl>
              <c:idx val="0"/>
              <c:layout>
                <c:manualLayout>
                  <c:x val="-8.8442087050112847E-2"/>
                  <c:y val="4.64636834577786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8E44-4085-AC7C-B0EB535AF07C}"/>
                </c:ext>
                <c:ext xmlns:c15="http://schemas.microsoft.com/office/drawing/2012/chart" uri="{CE6537A1-D6FC-4f65-9D91-7224C49458BB}"/>
              </c:extLst>
            </c:dLbl>
            <c:dLbl>
              <c:idx val="1"/>
              <c:layout>
                <c:manualLayout>
                  <c:x val="-0.17372323669587889"/>
                  <c:y val="-1.37244011029224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E44-4085-AC7C-B0EB535AF07C}"/>
                </c:ext>
                <c:ext xmlns:c15="http://schemas.microsoft.com/office/drawing/2012/chart" uri="{CE6537A1-D6FC-4f65-9D91-7224C49458BB}"/>
              </c:extLst>
            </c:dLbl>
            <c:dLbl>
              <c:idx val="2"/>
              <c:layout>
                <c:manualLayout>
                  <c:x val="-0.22887126801482324"/>
                  <c:y val="-0.112278523952776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E44-4085-AC7C-B0EB535AF07C}"/>
                </c:ext>
                <c:ext xmlns:c15="http://schemas.microsoft.com/office/drawing/2012/chart" uri="{CE6537A1-D6FC-4f65-9D91-7224C49458BB}"/>
              </c:extLst>
            </c:dLbl>
            <c:dLbl>
              <c:idx val="3"/>
              <c:layout>
                <c:manualLayout>
                  <c:x val="-0.11533340325157802"/>
                  <c:y val="-0.127331097914810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E44-4085-AC7C-B0EB535AF07C}"/>
                </c:ext>
                <c:ext xmlns:c15="http://schemas.microsoft.com/office/drawing/2012/chart" uri="{CE6537A1-D6FC-4f65-9D91-7224C49458BB}"/>
              </c:extLst>
            </c:dLbl>
            <c:dLbl>
              <c:idx val="4"/>
              <c:layout>
                <c:manualLayout>
                  <c:x val="4.8101506105428807E-2"/>
                  <c:y val="-0.149093033918965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E44-4085-AC7C-B0EB535AF07C}"/>
                </c:ext>
                <c:ext xmlns:c15="http://schemas.microsoft.com/office/drawing/2012/chart" uri="{CE6537A1-D6FC-4f65-9D91-7224C49458BB}"/>
              </c:extLst>
            </c:dLbl>
            <c:dLbl>
              <c:idx val="5"/>
              <c:layout>
                <c:manualLayout>
                  <c:x val="0.16476016064744928"/>
                  <c:y val="-9.7135551604120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E44-4085-AC7C-B0EB535AF07C}"/>
                </c:ext>
                <c:ext xmlns:c15="http://schemas.microsoft.com/office/drawing/2012/chart" uri="{CE6537A1-D6FC-4f65-9D91-7224C49458BB}"/>
              </c:extLst>
            </c:dLbl>
            <c:dLbl>
              <c:idx val="6"/>
              <c:layout>
                <c:manualLayout>
                  <c:x val="0.14866276611445489"/>
                  <c:y val="-1.02294627912785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E44-4085-AC7C-B0EB535AF07C}"/>
                </c:ext>
                <c:ext xmlns:c15="http://schemas.microsoft.com/office/drawing/2012/chart" uri="{CE6537A1-D6FC-4f65-9D91-7224C49458BB}"/>
              </c:extLst>
            </c:dLbl>
            <c:dLbl>
              <c:idx val="7"/>
              <c:layout>
                <c:manualLayout>
                  <c:x val="0.16804495774770872"/>
                  <c:y val="0.100438665160648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E44-4085-AC7C-B0EB535AF07C}"/>
                </c:ext>
                <c:ext xmlns:c15="http://schemas.microsoft.com/office/drawing/2012/chart" uri="{CE6537A1-D6FC-4f65-9D91-7224C49458BB}"/>
              </c:extLst>
            </c:dLbl>
            <c:dLbl>
              <c:idx val="8"/>
              <c:layout>
                <c:manualLayout>
                  <c:x val="0.14304504079539745"/>
                  <c:y val="0.201433078478225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E44-4085-AC7C-B0EB535AF07C}"/>
                </c:ext>
                <c:ext xmlns:c15="http://schemas.microsoft.com/office/drawing/2012/chart" uri="{CE6537A1-D6FC-4f65-9D91-7224C49458BB}"/>
              </c:extLst>
            </c:dLbl>
            <c:dLbl>
              <c:idx val="9"/>
              <c:layout>
                <c:manualLayout>
                  <c:x val="0.16850765201404883"/>
                  <c:y val="0.295353895704492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E44-4085-AC7C-B0EB535AF07C}"/>
                </c:ext>
                <c:ext xmlns:c15="http://schemas.microsoft.com/office/drawing/2012/chart" uri="{CE6537A1-D6FC-4f65-9D91-7224C49458BB}"/>
              </c:extLst>
            </c:dLbl>
            <c:dLbl>
              <c:idx val="10"/>
              <c:layout>
                <c:manualLayout>
                  <c:x val="6.1971703991461749E-2"/>
                  <c:y val="0.388289184128155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E44-4085-AC7C-B0EB535AF07C}"/>
                </c:ext>
                <c:ext xmlns:c15="http://schemas.microsoft.com/office/drawing/2012/chart" uri="{CE6537A1-D6FC-4f65-9D91-7224C49458BB}"/>
              </c:extLst>
            </c:dLbl>
            <c:dLbl>
              <c:idx val="11"/>
              <c:layout>
                <c:manualLayout>
                  <c:x val="-0.13626559694916002"/>
                  <c:y val="0.195601295275301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E44-4085-AC7C-B0EB535AF07C}"/>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'HSH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'HSH Chts'!$D$102:$D$113</c:f>
              <c:numCache>
                <c:formatCode>"$"#,##0</c:formatCode>
                <c:ptCount val="12"/>
                <c:pt idx="0">
                  <c:v>717084884</c:v>
                </c:pt>
                <c:pt idx="1">
                  <c:v>199048552</c:v>
                </c:pt>
                <c:pt idx="2">
                  <c:v>31435559</c:v>
                </c:pt>
                <c:pt idx="3">
                  <c:v>55340893</c:v>
                </c:pt>
                <c:pt idx="4">
                  <c:v>9150310</c:v>
                </c:pt>
                <c:pt idx="5">
                  <c:v>77137846</c:v>
                </c:pt>
                <c:pt idx="6">
                  <c:v>43942794</c:v>
                </c:pt>
                <c:pt idx="7">
                  <c:v>9668012</c:v>
                </c:pt>
                <c:pt idx="8">
                  <c:v>17062069</c:v>
                </c:pt>
                <c:pt idx="9">
                  <c:v>14064666</c:v>
                </c:pt>
                <c:pt idx="10">
                  <c:v>2951837</c:v>
                </c:pt>
                <c:pt idx="11">
                  <c:v>430638402</c:v>
                </c:pt>
              </c:numCache>
            </c:numRef>
          </c:val>
          <c:extLst xmlns:c16r2="http://schemas.microsoft.com/office/drawing/2015/06/chart">
            <c:ext xmlns:c16="http://schemas.microsoft.com/office/drawing/2014/chart" uri="{C3380CC4-5D6E-409C-BE32-E72D297353CC}">
              <c16:uniqueId val="{00000017-8E44-4085-AC7C-B0EB535AF07C}"/>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3935E-2"/>
        </c:manualLayout>
      </c:layout>
      <c:overlay val="0"/>
      <c:spPr>
        <a:noFill/>
        <a:ln w="25400">
          <a:noFill/>
        </a:ln>
      </c:spPr>
    </c:title>
    <c:autoTitleDeleted val="0"/>
    <c:plotArea>
      <c:layout>
        <c:manualLayout>
          <c:layoutTarget val="inner"/>
          <c:xMode val="edge"/>
          <c:yMode val="edge"/>
          <c:x val="0.39359747804473688"/>
          <c:y val="0.33725530588603547"/>
          <c:w val="0.21526450800196503"/>
          <c:h val="0.33250696259595786"/>
        </c:manualLayout>
      </c:layout>
      <c:pieChart>
        <c:varyColors val="1"/>
        <c:ser>
          <c:idx val="0"/>
          <c:order val="0"/>
          <c:tx>
            <c:strRef>
              <c:f>'HSSA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A7E-49AA-AA23-7D4C8DEF440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A7E-49AA-AA23-7D4C8DEF440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A7E-49AA-AA23-7D4C8DEF440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A7E-49AA-AA23-7D4C8DEF4407}"/>
              </c:ext>
            </c:extLst>
          </c:dPt>
          <c:dLbls>
            <c:dLbl>
              <c:idx val="0"/>
              <c:layout>
                <c:manualLayout>
                  <c:x val="6.3012500678794464E-2"/>
                  <c:y val="-9.91187029765000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8A7E-49AA-AA23-7D4C8DEF4407}"/>
                </c:ext>
                <c:ext xmlns:c15="http://schemas.microsoft.com/office/drawing/2012/chart" uri="{CE6537A1-D6FC-4f65-9D91-7224C49458BB}"/>
              </c:extLst>
            </c:dLbl>
            <c:dLbl>
              <c:idx val="1"/>
              <c:layout>
                <c:manualLayout>
                  <c:x val="8.6163687207780157E-2"/>
                  <c:y val="1.4747059122539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A7E-49AA-AA23-7D4C8DEF4407}"/>
                </c:ext>
                <c:ext xmlns:c15="http://schemas.microsoft.com/office/drawing/2012/chart" uri="{CE6537A1-D6FC-4f65-9D91-7224C49458BB}"/>
              </c:extLst>
            </c:dLbl>
            <c:dLbl>
              <c:idx val="2"/>
              <c:layout>
                <c:manualLayout>
                  <c:x val="2.7832733232755202E-2"/>
                  <c:y val="9.81223062579102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A7E-49AA-AA23-7D4C8DEF4407}"/>
                </c:ext>
                <c:ext xmlns:c15="http://schemas.microsoft.com/office/drawing/2012/chart" uri="{CE6537A1-D6FC-4f65-9D91-7224C49458BB}"/>
              </c:extLst>
            </c:dLbl>
            <c:dLbl>
              <c:idx val="3"/>
              <c:layout>
                <c:manualLayout>
                  <c:x val="-6.7823587076923014E-2"/>
                  <c:y val="9.154129628812519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A7E-49AA-AA23-7D4C8DEF4407}"/>
                </c:ext>
                <c:ext xmlns:c15="http://schemas.microsoft.com/office/drawing/2012/chart" uri="{CE6537A1-D6FC-4f65-9D91-7224C49458BB}"/>
              </c:extLst>
            </c:dLbl>
            <c:dLbl>
              <c:idx val="4"/>
              <c:layout>
                <c:manualLayout>
                  <c:x val="-7.4697540048873523E-2"/>
                  <c:y val="-1.13647171349090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A7E-49AA-AA23-7D4C8DEF440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'HSSA Chts'!$C$11:$C$15</c:f>
              <c:strCache>
                <c:ptCount val="5"/>
                <c:pt idx="0">
                  <c:v>State of Texas</c:v>
                </c:pt>
                <c:pt idx="1">
                  <c:v>Student &amp; Parent</c:v>
                </c:pt>
                <c:pt idx="2">
                  <c:v>Federal Government</c:v>
                </c:pt>
                <c:pt idx="3">
                  <c:v>Institutional Resources</c:v>
                </c:pt>
                <c:pt idx="4">
                  <c:v>Hospitals, Clinics, Professional Fees</c:v>
                </c:pt>
              </c:strCache>
            </c:strRef>
          </c:cat>
          <c:val>
            <c:numRef>
              <c:f>'HSSA Chts'!$D$11:$D$15</c:f>
              <c:numCache>
                <c:formatCode>"$"#,##0</c:formatCode>
                <c:ptCount val="5"/>
                <c:pt idx="0">
                  <c:v>184176527</c:v>
                </c:pt>
                <c:pt idx="1">
                  <c:v>45947803</c:v>
                </c:pt>
                <c:pt idx="2">
                  <c:v>103703491</c:v>
                </c:pt>
                <c:pt idx="3">
                  <c:v>320647893</c:v>
                </c:pt>
                <c:pt idx="4">
                  <c:v>216393102</c:v>
                </c:pt>
              </c:numCache>
            </c:numRef>
          </c:val>
          <c:extLst xmlns:c16r2="http://schemas.microsoft.com/office/drawing/2015/06/chart">
            <c:ext xmlns:c16="http://schemas.microsoft.com/office/drawing/2014/chart" uri="{C3380CC4-5D6E-409C-BE32-E72D297353CC}">
              <c16:uniqueId val="{00000009-8A7E-49AA-AA23-7D4C8DEF4407}"/>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917378714904873"/>
          <c:y val="1.6399180457493254E-2"/>
        </c:manualLayout>
      </c:layout>
      <c:overlay val="0"/>
      <c:spPr>
        <a:noFill/>
        <a:ln w="25400">
          <a:noFill/>
        </a:ln>
      </c:spPr>
    </c:title>
    <c:autoTitleDeleted val="0"/>
    <c:plotArea>
      <c:layout>
        <c:manualLayout>
          <c:layoutTarget val="inner"/>
          <c:xMode val="edge"/>
          <c:yMode val="edge"/>
          <c:x val="0.39731146078848883"/>
          <c:y val="0.31294872054979639"/>
          <c:w val="0.22080762174116295"/>
          <c:h val="0.34314519926870518"/>
        </c:manualLayout>
      </c:layout>
      <c:pieChart>
        <c:varyColors val="1"/>
        <c:ser>
          <c:idx val="0"/>
          <c:order val="0"/>
          <c:tx>
            <c:strRef>
              <c:f>'HSSA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624-4FA6-802C-A85D5B66B62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624-4FA6-802C-A85D5B66B62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624-4FA6-802C-A85D5B66B62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624-4FA6-802C-A85D5B66B62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624-4FA6-802C-A85D5B66B62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624-4FA6-802C-A85D5B66B62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624-4FA6-802C-A85D5B66B62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624-4FA6-802C-A85D5B66B62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624-4FA6-802C-A85D5B66B62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624-4FA6-802C-A85D5B66B62E}"/>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3624-4FA6-802C-A85D5B66B62E}"/>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3624-4FA6-802C-A85D5B66B62E}"/>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3624-4FA6-802C-A85D5B66B62E}"/>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3624-4FA6-802C-A85D5B66B62E}"/>
              </c:ext>
            </c:extLst>
          </c:dPt>
          <c:dLbls>
            <c:dLbl>
              <c:idx val="0"/>
              <c:layout>
                <c:manualLayout>
                  <c:x val="4.8870560998918657E-2"/>
                  <c:y val="-0.105452935053186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3624-4FA6-802C-A85D5B66B62E}"/>
                </c:ext>
                <c:ext xmlns:c15="http://schemas.microsoft.com/office/drawing/2012/chart" uri="{CE6537A1-D6FC-4f65-9D91-7224C49458BB}"/>
              </c:extLst>
            </c:dLbl>
            <c:dLbl>
              <c:idx val="1"/>
              <c:layout>
                <c:manualLayout>
                  <c:x val="0.12287654103696129"/>
                  <c:y val="-8.635950648648606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624-4FA6-802C-A85D5B66B62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624-4FA6-802C-A85D5B66B62E}"/>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3624-4FA6-802C-A85D5B66B62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3624-4FA6-802C-A85D5B66B62E}"/>
                </c:ext>
                <c:ext xmlns:c15="http://schemas.microsoft.com/office/drawing/2012/chart" uri="{CE6537A1-D6FC-4f65-9D91-7224C49458BB}"/>
              </c:extLst>
            </c:dLbl>
            <c:dLbl>
              <c:idx val="5"/>
              <c:layout>
                <c:manualLayout>
                  <c:x val="0.13048195823451361"/>
                  <c:y val="5.05131900682651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624-4FA6-802C-A85D5B66B62E}"/>
                </c:ext>
                <c:ext xmlns:c15="http://schemas.microsoft.com/office/drawing/2012/chart" uri="{CE6537A1-D6FC-4f65-9D91-7224C49458BB}"/>
              </c:extLst>
            </c:dLbl>
            <c:dLbl>
              <c:idx val="6"/>
              <c:layout>
                <c:manualLayout>
                  <c:x val="0.1088652400597529"/>
                  <c:y val="7.0519131646944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624-4FA6-802C-A85D5B66B62E}"/>
                </c:ext>
                <c:ext xmlns:c15="http://schemas.microsoft.com/office/drawing/2012/chart" uri="{CE6537A1-D6FC-4f65-9D91-7224C49458BB}"/>
              </c:extLst>
            </c:dLbl>
            <c:dLbl>
              <c:idx val="7"/>
              <c:layout>
                <c:manualLayout>
                  <c:x val="7.0081147639570159E-3"/>
                  <c:y val="0.121209465864684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624-4FA6-802C-A85D5B66B62E}"/>
                </c:ext>
                <c:ext xmlns:c15="http://schemas.microsoft.com/office/drawing/2012/chart" uri="{CE6537A1-D6FC-4f65-9D91-7224C49458BB}"/>
              </c:extLst>
            </c:dLbl>
            <c:dLbl>
              <c:idx val="8"/>
              <c:layout>
                <c:manualLayout>
                  <c:x val="2.4577450231352847E-2"/>
                  <c:y val="0.109283913687931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624-4FA6-802C-A85D5B66B62E}"/>
                </c:ext>
                <c:ext xmlns:c15="http://schemas.microsoft.com/office/drawing/2012/chart" uri="{CE6537A1-D6FC-4f65-9D91-7224C49458BB}"/>
              </c:extLst>
            </c:dLbl>
            <c:dLbl>
              <c:idx val="9"/>
              <c:layout>
                <c:manualLayout>
                  <c:x val="-3.7788809517107239E-2"/>
                  <c:y val="0.154153549620456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624-4FA6-802C-A85D5B66B62E}"/>
                </c:ext>
                <c:ext xmlns:c15="http://schemas.microsoft.com/office/drawing/2012/chart" uri="{CE6537A1-D6FC-4f65-9D91-7224C49458BB}"/>
              </c:extLst>
            </c:dLbl>
            <c:dLbl>
              <c:idx val="10"/>
              <c:layout>
                <c:manualLayout>
                  <c:x val="-0.10178897860430834"/>
                  <c:y val="9.10735266421491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624-4FA6-802C-A85D5B66B62E}"/>
                </c:ext>
                <c:ext xmlns:c15="http://schemas.microsoft.com/office/drawing/2012/chart" uri="{CE6537A1-D6FC-4f65-9D91-7224C49458BB}"/>
              </c:extLst>
            </c:dLbl>
            <c:dLbl>
              <c:idx val="11"/>
              <c:layout>
                <c:manualLayout>
                  <c:x val="-0.14239644522593567"/>
                  <c:y val="-2.8848176904595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3624-4FA6-802C-A85D5B66B62E}"/>
                </c:ext>
                <c:ext xmlns:c15="http://schemas.microsoft.com/office/drawing/2012/chart" uri="{CE6537A1-D6FC-4f65-9D91-7224C49458BB}"/>
              </c:extLst>
            </c:dLbl>
            <c:dLbl>
              <c:idx val="12"/>
              <c:layout>
                <c:manualLayout>
                  <c:x val="-0.11487295381028627"/>
                  <c:y val="-0.181307352191410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3624-4FA6-802C-A85D5B66B62E}"/>
                </c:ext>
                <c:ext xmlns:c15="http://schemas.microsoft.com/office/drawing/2012/chart" uri="{CE6537A1-D6FC-4f65-9D91-7224C49458BB}"/>
              </c:extLst>
            </c:dLbl>
            <c:dLbl>
              <c:idx val="13"/>
              <c:layout>
                <c:manualLayout>
                  <c:x val="-3.2100503764227989E-2"/>
                  <c:y val="-0.112359035257832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3624-4FA6-802C-A85D5B66B62E}"/>
                </c:ext>
                <c:ext xmlns:c15="http://schemas.microsoft.com/office/drawing/2012/chart" uri="{CE6537A1-D6FC-4f65-9D91-7224C49458BB}"/>
              </c:extLst>
            </c:dLbl>
            <c:dLbl>
              <c:idx val="14"/>
              <c:layout>
                <c:manualLayout>
                  <c:x val="3.5196486625761591E-3"/>
                  <c:y val="-6.41573872183561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3624-4FA6-802C-A85D5B66B62E}"/>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'HSSA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'HSSA Chts'!$D$53:$D$67</c:f>
              <c:numCache>
                <c:formatCode>"$"#,##0</c:formatCode>
                <c:ptCount val="15"/>
                <c:pt idx="0">
                  <c:v>169212881</c:v>
                </c:pt>
                <c:pt idx="1">
                  <c:v>14963646</c:v>
                </c:pt>
                <c:pt idx="3">
                  <c:v>0</c:v>
                </c:pt>
                <c:pt idx="4">
                  <c:v>0</c:v>
                </c:pt>
                <c:pt idx="5">
                  <c:v>45947803</c:v>
                </c:pt>
                <c:pt idx="6">
                  <c:v>103703491</c:v>
                </c:pt>
                <c:pt idx="7">
                  <c:v>44640215</c:v>
                </c:pt>
                <c:pt idx="8">
                  <c:v>166396985</c:v>
                </c:pt>
                <c:pt idx="9">
                  <c:v>39685800</c:v>
                </c:pt>
                <c:pt idx="10">
                  <c:v>30442161</c:v>
                </c:pt>
                <c:pt idx="11">
                  <c:v>5480027</c:v>
                </c:pt>
                <c:pt idx="12">
                  <c:v>34002705</c:v>
                </c:pt>
                <c:pt idx="13">
                  <c:v>216393102</c:v>
                </c:pt>
                <c:pt idx="14">
                  <c:v>0</c:v>
                </c:pt>
              </c:numCache>
            </c:numRef>
          </c:val>
          <c:extLst xmlns:c16r2="http://schemas.microsoft.com/office/drawing/2015/06/chart">
            <c:ext xmlns:c16="http://schemas.microsoft.com/office/drawing/2014/chart" uri="{C3380CC4-5D6E-409C-BE32-E72D297353CC}">
              <c16:uniqueId val="{0000001D-3624-4FA6-802C-A85D5B66B62E}"/>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8"/>
          <c:y val="2.4423337856174725E-2"/>
        </c:manualLayout>
      </c:layout>
      <c:overlay val="0"/>
      <c:spPr>
        <a:noFill/>
        <a:ln w="25400">
          <a:noFill/>
        </a:ln>
      </c:spPr>
    </c:title>
    <c:autoTitleDeleted val="0"/>
    <c:plotArea>
      <c:layout>
        <c:manualLayout>
          <c:layoutTarget val="inner"/>
          <c:xMode val="edge"/>
          <c:yMode val="edge"/>
          <c:x val="0.38558802538895975"/>
          <c:y val="0.32087241865363147"/>
          <c:w val="0.21861873205793392"/>
          <c:h val="0.350608673382171"/>
        </c:manualLayout>
      </c:layout>
      <c:pieChart>
        <c:varyColors val="1"/>
        <c:ser>
          <c:idx val="0"/>
          <c:order val="0"/>
          <c:tx>
            <c:strRef>
              <c:f>'HSSA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4E5-461F-BEBF-D8142908F38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4E5-461F-BEBF-D8142908F38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4E5-461F-BEBF-D8142908F38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4E5-461F-BEBF-D8142908F38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4E5-461F-BEBF-D8142908F38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4E5-461F-BEBF-D8142908F38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4E5-461F-BEBF-D8142908F38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4E5-461F-BEBF-D8142908F38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4E5-461F-BEBF-D8142908F38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4E5-461F-BEBF-D8142908F38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4E5-461F-BEBF-D8142908F388}"/>
              </c:ext>
            </c:extLst>
          </c:dPt>
          <c:dLbls>
            <c:dLbl>
              <c:idx val="0"/>
              <c:layout>
                <c:manualLayout>
                  <c:x val="-9.9497771205113078E-2"/>
                  <c:y val="-1.6724012172406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64E5-461F-BEBF-D8142908F388}"/>
                </c:ext>
                <c:ext xmlns:c15="http://schemas.microsoft.com/office/drawing/2012/chart" uri="{CE6537A1-D6FC-4f65-9D91-7224C49458BB}"/>
              </c:extLst>
            </c:dLbl>
            <c:dLbl>
              <c:idx val="1"/>
              <c:layout>
                <c:manualLayout>
                  <c:x val="-0.1702649351909799"/>
                  <c:y val="-9.38405148793880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4E5-461F-BEBF-D8142908F388}"/>
                </c:ext>
                <c:ext xmlns:c15="http://schemas.microsoft.com/office/drawing/2012/chart" uri="{CE6537A1-D6FC-4f65-9D91-7224C49458BB}"/>
              </c:extLst>
            </c:dLbl>
            <c:dLbl>
              <c:idx val="2"/>
              <c:layout>
                <c:manualLayout>
                  <c:x val="-9.2697129469899386E-2"/>
                  <c:y val="-0.145113175052281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4E5-461F-BEBF-D8142908F388}"/>
                </c:ext>
                <c:ext xmlns:c15="http://schemas.microsoft.com/office/drawing/2012/chart" uri="{CE6537A1-D6FC-4f65-9D91-7224C49458BB}"/>
              </c:extLst>
            </c:dLbl>
            <c:dLbl>
              <c:idx val="3"/>
              <c:layout>
                <c:manualLayout>
                  <c:x val="3.3698586330531924E-2"/>
                  <c:y val="-0.202459612734554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4E5-461F-BEBF-D8142908F388}"/>
                </c:ext>
                <c:ext xmlns:c15="http://schemas.microsoft.com/office/drawing/2012/chart" uri="{CE6537A1-D6FC-4f65-9D91-7224C49458BB}"/>
              </c:extLst>
            </c:dLbl>
            <c:dLbl>
              <c:idx val="4"/>
              <c:layout>
                <c:manualLayout>
                  <c:x val="0.1488627037517361"/>
                  <c:y val="-0.149273209397455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4E5-461F-BEBF-D8142908F388}"/>
                </c:ext>
                <c:ext xmlns:c15="http://schemas.microsoft.com/office/drawing/2012/chart" uri="{CE6537A1-D6FC-4f65-9D91-7224C49458BB}"/>
              </c:extLst>
            </c:dLbl>
            <c:dLbl>
              <c:idx val="5"/>
              <c:layout>
                <c:manualLayout>
                  <c:x val="0.15219004415697085"/>
                  <c:y val="-7.47096068322541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4E5-461F-BEBF-D8142908F388}"/>
                </c:ext>
                <c:ext xmlns:c15="http://schemas.microsoft.com/office/drawing/2012/chart" uri="{CE6537A1-D6FC-4f65-9D91-7224C49458BB}"/>
              </c:extLst>
            </c:dLbl>
            <c:dLbl>
              <c:idx val="6"/>
              <c:layout>
                <c:manualLayout>
                  <c:x val="0.14282323876107988"/>
                  <c:y val="-3.30354846285465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4E5-461F-BEBF-D8142908F388}"/>
                </c:ext>
                <c:ext xmlns:c15="http://schemas.microsoft.com/office/drawing/2012/chart" uri="{CE6537A1-D6FC-4f65-9D91-7224C49458BB}"/>
              </c:extLst>
            </c:dLbl>
            <c:dLbl>
              <c:idx val="7"/>
              <c:layout>
                <c:manualLayout>
                  <c:x val="0.16235783382234992"/>
                  <c:y val="7.51542985520104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4E5-461F-BEBF-D8142908F388}"/>
                </c:ext>
                <c:ext xmlns:c15="http://schemas.microsoft.com/office/drawing/2012/chart" uri="{CE6537A1-D6FC-4f65-9D91-7224C49458BB}"/>
              </c:extLst>
            </c:dLbl>
            <c:dLbl>
              <c:idx val="8"/>
              <c:layout>
                <c:manualLayout>
                  <c:x val="0.12705272952142152"/>
                  <c:y val="0.2049272401714274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4E5-461F-BEBF-D8142908F388}"/>
                </c:ext>
                <c:ext xmlns:c15="http://schemas.microsoft.com/office/drawing/2012/chart" uri="{CE6537A1-D6FC-4f65-9D91-7224C49458BB}"/>
              </c:extLst>
            </c:dLbl>
            <c:dLbl>
              <c:idx val="9"/>
              <c:layout>
                <c:manualLayout>
                  <c:x val="2.3932568327483996E-2"/>
                  <c:y val="0.271740656658850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4E5-461F-BEBF-D8142908F388}"/>
                </c:ext>
                <c:ext xmlns:c15="http://schemas.microsoft.com/office/drawing/2012/chart" uri="{CE6537A1-D6FC-4f65-9D91-7224C49458BB}"/>
              </c:extLst>
            </c:dLbl>
            <c:dLbl>
              <c:idx val="10"/>
              <c:layout>
                <c:manualLayout>
                  <c:x val="-0.15788754355251269"/>
                  <c:y val="0.2637380695874975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4E5-461F-BEBF-D8142908F388}"/>
                </c:ext>
                <c:ext xmlns:c15="http://schemas.microsoft.com/office/drawing/2012/chart" uri="{CE6537A1-D6FC-4f65-9D91-7224C49458BB}"/>
              </c:extLst>
            </c:dLbl>
            <c:dLbl>
              <c:idx val="11"/>
              <c:layout>
                <c:manualLayout>
                  <c:x val="-0.32466533955960936"/>
                  <c:y val="0.158769078408640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4E5-461F-BEBF-D8142908F38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'HSSA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'HSSA Chts'!$D$102:$D$113</c:f>
              <c:numCache>
                <c:formatCode>"$"#,##0</c:formatCode>
                <c:ptCount val="12"/>
                <c:pt idx="0">
                  <c:v>380969177</c:v>
                </c:pt>
                <c:pt idx="1">
                  <c:v>126561477</c:v>
                </c:pt>
                <c:pt idx="2">
                  <c:v>29457888</c:v>
                </c:pt>
                <c:pt idx="3">
                  <c:v>43260128</c:v>
                </c:pt>
                <c:pt idx="4">
                  <c:v>2118896</c:v>
                </c:pt>
                <c:pt idx="5">
                  <c:v>47841835</c:v>
                </c:pt>
                <c:pt idx="6">
                  <c:v>37591395</c:v>
                </c:pt>
                <c:pt idx="7">
                  <c:v>4882941</c:v>
                </c:pt>
                <c:pt idx="8">
                  <c:v>5845168</c:v>
                </c:pt>
                <c:pt idx="9">
                  <c:v>28235559</c:v>
                </c:pt>
                <c:pt idx="10">
                  <c:v>5867887</c:v>
                </c:pt>
                <c:pt idx="11">
                  <c:v>131112226</c:v>
                </c:pt>
              </c:numCache>
            </c:numRef>
          </c:val>
          <c:extLst xmlns:c16r2="http://schemas.microsoft.com/office/drawing/2015/06/chart">
            <c:ext xmlns:c16="http://schemas.microsoft.com/office/drawing/2014/chart" uri="{C3380CC4-5D6E-409C-BE32-E72D297353CC}">
              <c16:uniqueId val="{00000017-64E5-461F-BEBF-D8142908F388}"/>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22E-2"/>
        </c:manualLayout>
      </c:layout>
      <c:overlay val="0"/>
      <c:spPr>
        <a:noFill/>
        <a:ln w="25400">
          <a:noFill/>
        </a:ln>
      </c:spPr>
    </c:title>
    <c:autoTitleDeleted val="0"/>
    <c:plotArea>
      <c:layout>
        <c:manualLayout>
          <c:layoutTarget val="inner"/>
          <c:xMode val="edge"/>
          <c:yMode val="edge"/>
          <c:x val="0.3916827332890625"/>
          <c:y val="0.3243431349205288"/>
          <c:w val="0.21444587018308012"/>
          <c:h val="0.33124245885982606"/>
        </c:manualLayout>
      </c:layout>
      <c:pieChart>
        <c:varyColors val="1"/>
        <c:ser>
          <c:idx val="0"/>
          <c:order val="0"/>
          <c:tx>
            <c:strRef>
              <c:f>'MDA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D9E-472B-90DF-939912FCE58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D9E-472B-90DF-939912FCE58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D9E-472B-90DF-939912FCE58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D9E-472B-90DF-939912FCE586}"/>
              </c:ext>
            </c:extLst>
          </c:dPt>
          <c:dLbls>
            <c:dLbl>
              <c:idx val="0"/>
              <c:layout>
                <c:manualLayout>
                  <c:x val="-0.19443360005322838"/>
                  <c:y val="-8.33330084810436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FD9E-472B-90DF-939912FCE586}"/>
                </c:ext>
                <c:ext xmlns:c15="http://schemas.microsoft.com/office/drawing/2012/chart" uri="{CE6537A1-D6FC-4f65-9D91-7224C49458BB}"/>
              </c:extLst>
            </c:dLbl>
            <c:dLbl>
              <c:idx val="1"/>
              <c:layout>
                <c:manualLayout>
                  <c:x val="4.2749296346457431E-2"/>
                  <c:y val="-9.64590417434715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D9E-472B-90DF-939912FCE586}"/>
                </c:ext>
                <c:ext xmlns:c15="http://schemas.microsoft.com/office/drawing/2012/chart" uri="{CE6537A1-D6FC-4f65-9D91-7224C49458BB}"/>
              </c:extLst>
            </c:dLbl>
            <c:dLbl>
              <c:idx val="2"/>
              <c:layout>
                <c:manualLayout>
                  <c:x val="0.12959794684159998"/>
                  <c:y val="8.645743780303095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D9E-472B-90DF-939912FCE586}"/>
                </c:ext>
                <c:ext xmlns:c15="http://schemas.microsoft.com/office/drawing/2012/chart" uri="{CE6537A1-D6FC-4f65-9D91-7224C49458BB}"/>
              </c:extLst>
            </c:dLbl>
            <c:dLbl>
              <c:idx val="3"/>
              <c:layout>
                <c:manualLayout>
                  <c:x val="0.10649697666587155"/>
                  <c:y val="0.243055232785652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D9E-472B-90DF-939912FCE586}"/>
                </c:ext>
                <c:ext xmlns:c15="http://schemas.microsoft.com/office/drawing/2012/chart" uri="{CE6537A1-D6FC-4f65-9D91-7224C49458BB}"/>
              </c:extLst>
            </c:dLbl>
            <c:dLbl>
              <c:idx val="4"/>
              <c:layout>
                <c:manualLayout>
                  <c:x val="2.7617133879056587E-2"/>
                  <c:y val="8.03508644619290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D9E-472B-90DF-939912FCE58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'MDA Chts'!$C$11:$C$15</c:f>
              <c:strCache>
                <c:ptCount val="5"/>
                <c:pt idx="0">
                  <c:v>State of Texas</c:v>
                </c:pt>
                <c:pt idx="1">
                  <c:v>Student &amp; Parent</c:v>
                </c:pt>
                <c:pt idx="2">
                  <c:v>Federal Government</c:v>
                </c:pt>
                <c:pt idx="3">
                  <c:v>Institutional Resources</c:v>
                </c:pt>
                <c:pt idx="4">
                  <c:v>Hospitals, Clinics, Professional Fees</c:v>
                </c:pt>
              </c:strCache>
            </c:strRef>
          </c:cat>
          <c:val>
            <c:numRef>
              <c:f>'MDA Chts'!$D$11:$D$15</c:f>
              <c:numCache>
                <c:formatCode>"$"#,##0</c:formatCode>
                <c:ptCount val="5"/>
                <c:pt idx="0">
                  <c:v>258497280</c:v>
                </c:pt>
                <c:pt idx="1">
                  <c:v>1113485</c:v>
                </c:pt>
                <c:pt idx="2">
                  <c:v>175307623</c:v>
                </c:pt>
                <c:pt idx="3">
                  <c:v>645817903</c:v>
                </c:pt>
                <c:pt idx="4">
                  <c:v>4084154519</c:v>
                </c:pt>
              </c:numCache>
            </c:numRef>
          </c:val>
          <c:extLst xmlns:c16r2="http://schemas.microsoft.com/office/drawing/2015/06/chart">
            <c:ext xmlns:c16="http://schemas.microsoft.com/office/drawing/2014/chart" uri="{C3380CC4-5D6E-409C-BE32-E72D297353CC}">
              <c16:uniqueId val="{00000009-FD9E-472B-90DF-939912FCE586}"/>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2893813491129951"/>
          <c:y val="7.8873814385091723E-3"/>
        </c:manualLayout>
      </c:layout>
      <c:overlay val="0"/>
      <c:spPr>
        <a:noFill/>
        <a:ln w="25400">
          <a:noFill/>
        </a:ln>
      </c:spPr>
    </c:title>
    <c:autoTitleDeleted val="0"/>
    <c:plotArea>
      <c:layout>
        <c:manualLayout>
          <c:layoutTarget val="inner"/>
          <c:xMode val="edge"/>
          <c:yMode val="edge"/>
          <c:x val="0.39214203770425904"/>
          <c:y val="0.36416356198432465"/>
          <c:w val="0.2185245196792297"/>
          <c:h val="0.33939669011433038"/>
        </c:manualLayout>
      </c:layout>
      <c:pieChart>
        <c:varyColors val="1"/>
        <c:ser>
          <c:idx val="0"/>
          <c:order val="0"/>
          <c:tx>
            <c:strRef>
              <c:f>'MDA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701-4D7C-9D46-011C3B01762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701-4D7C-9D46-011C3B01762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701-4D7C-9D46-011C3B01762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701-4D7C-9D46-011C3B01762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701-4D7C-9D46-011C3B01762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701-4D7C-9D46-011C3B01762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701-4D7C-9D46-011C3B01762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701-4D7C-9D46-011C3B01762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701-4D7C-9D46-011C3B01762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701-4D7C-9D46-011C3B01762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701-4D7C-9D46-011C3B01762F}"/>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701-4D7C-9D46-011C3B01762F}"/>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4701-4D7C-9D46-011C3B01762F}"/>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4701-4D7C-9D46-011C3B01762F}"/>
              </c:ext>
            </c:extLst>
          </c:dPt>
          <c:dLbls>
            <c:dLbl>
              <c:idx val="0"/>
              <c:layout>
                <c:manualLayout>
                  <c:x val="-0.32615410260221434"/>
                  <c:y val="-1.116678539321119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4701-4D7C-9D46-011C3B01762F}"/>
                </c:ext>
                <c:ext xmlns:c15="http://schemas.microsoft.com/office/drawing/2012/chart" uri="{CE6537A1-D6FC-4f65-9D91-7224C49458BB}"/>
              </c:extLst>
            </c:dLbl>
            <c:dLbl>
              <c:idx val="1"/>
              <c:layout>
                <c:manualLayout>
                  <c:x val="-0.36770508080549208"/>
                  <c:y val="-0.141993789755876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701-4D7C-9D46-011C3B01762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701-4D7C-9D46-011C3B01762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4701-4D7C-9D46-011C3B01762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701-4D7C-9D46-011C3B01762F}"/>
                </c:ext>
                <c:ext xmlns:c15="http://schemas.microsoft.com/office/drawing/2012/chart" uri="{CE6537A1-D6FC-4f65-9D91-7224C49458BB}"/>
              </c:extLst>
            </c:dLbl>
            <c:dLbl>
              <c:idx val="5"/>
              <c:layout>
                <c:manualLayout>
                  <c:x val="-0.1869312262386966"/>
                  <c:y val="-0.1902457068498539"/>
                </c:manualLayout>
              </c:layout>
              <c:tx>
                <c:rich>
                  <a:bodyPr/>
                  <a:lstStyle/>
                  <a:p>
                    <a:r>
                      <a:rPr lang="en-US" sz="1475" baseline="0"/>
                      <a:t>Tuition &amp; Fees
$599,819, 0%</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701-4D7C-9D46-011C3B01762F}"/>
                </c:ext>
                <c:ext xmlns:c15="http://schemas.microsoft.com/office/drawing/2012/chart" uri="{CE6537A1-D6FC-4f65-9D91-7224C49458BB}"/>
              </c:extLst>
            </c:dLbl>
            <c:dLbl>
              <c:idx val="6"/>
              <c:layout>
                <c:manualLayout>
                  <c:x val="-1.6303836839176068E-2"/>
                  <c:y val="-0.16474425149760877"/>
                </c:manualLayout>
              </c:layout>
              <c:tx>
                <c:rich>
                  <a:bodyPr/>
                  <a:lstStyle/>
                  <a:p>
                    <a:r>
                      <a:rPr lang="en-US" sz="1475" baseline="0"/>
                      <a:t>Federal Grants &amp; Contracts
$193,841,961, 7%</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701-4D7C-9D46-011C3B01762F}"/>
                </c:ext>
                <c:ext xmlns:c15="http://schemas.microsoft.com/office/drawing/2012/chart" uri="{CE6537A1-D6FC-4f65-9D91-7224C49458BB}"/>
              </c:extLst>
            </c:dLbl>
            <c:dLbl>
              <c:idx val="7"/>
              <c:layout>
                <c:manualLayout>
                  <c:x val="0.16847702461090974"/>
                  <c:y val="-0.16792013915129669"/>
                </c:manualLayout>
              </c:layout>
              <c:tx>
                <c:rich>
                  <a:bodyPr/>
                  <a:lstStyle/>
                  <a:p>
                    <a:r>
                      <a:rPr lang="en-US" sz="1475" baseline="0"/>
                      <a:t>Endowment &amp; Interest Income
$57,917,314, 2%</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701-4D7C-9D46-011C3B01762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4701-4D7C-9D46-011C3B01762F}"/>
                </c:ext>
                <c:ext xmlns:c15="http://schemas.microsoft.com/office/drawing/2012/chart" uri="{CE6537A1-D6FC-4f65-9D91-7224C49458BB}"/>
              </c:extLst>
            </c:dLbl>
            <c:dLbl>
              <c:idx val="9"/>
              <c:layout>
                <c:manualLayout>
                  <c:x val="0.16584612608295426"/>
                  <c:y val="-8.0689602431091065E-2"/>
                </c:manualLayout>
              </c:layout>
              <c:tx>
                <c:rich>
                  <a:bodyPr/>
                  <a:lstStyle/>
                  <a:p>
                    <a:r>
                      <a:rPr lang="en-US" sz="1475" baseline="0"/>
                      <a:t>Private Gifts &amp; Grants
$180,582,064, 6%</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701-4D7C-9D46-011C3B01762F}"/>
                </c:ext>
                <c:ext xmlns:c15="http://schemas.microsoft.com/office/drawing/2012/chart" uri="{CE6537A1-D6FC-4f65-9D91-7224C49458BB}"/>
              </c:extLst>
            </c:dLbl>
            <c:dLbl>
              <c:idx val="10"/>
              <c:layout>
                <c:manualLayout>
                  <c:x val="0.18471034525638313"/>
                  <c:y val="5.0864083937908373E-3"/>
                </c:manualLayout>
              </c:layout>
              <c:tx>
                <c:rich>
                  <a:bodyPr/>
                  <a:lstStyle/>
                  <a:p>
                    <a:r>
                      <a:rPr lang="en-US" sz="1475" baseline="0"/>
                      <a:t>Sales &amp; Services
$1,813,222, 0%</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701-4D7C-9D46-011C3B01762F}"/>
                </c:ext>
                <c:ext xmlns:c15="http://schemas.microsoft.com/office/drawing/2012/chart" uri="{CE6537A1-D6FC-4f65-9D91-7224C49458BB}"/>
              </c:extLst>
            </c:dLbl>
            <c:dLbl>
              <c:idx val="11"/>
              <c:layout>
                <c:manualLayout>
                  <c:x val="0.1928456772056783"/>
                  <c:y val="0.171741330876920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701-4D7C-9D46-011C3B01762F}"/>
                </c:ext>
                <c:ext xmlns:c15="http://schemas.microsoft.com/office/drawing/2012/chart" uri="{CE6537A1-D6FC-4f65-9D91-7224C49458BB}"/>
              </c:extLst>
            </c:dLbl>
            <c:dLbl>
              <c:idx val="12"/>
              <c:layout>
                <c:manualLayout>
                  <c:x val="0.16113973883228208"/>
                  <c:y val="0.289380789049873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701-4D7C-9D46-011C3B01762F}"/>
                </c:ext>
                <c:ext xmlns:c15="http://schemas.microsoft.com/office/drawing/2012/chart" uri="{CE6537A1-D6FC-4f65-9D91-7224C49458BB}"/>
              </c:extLst>
            </c:dLbl>
            <c:dLbl>
              <c:idx val="13"/>
              <c:layout>
                <c:manualLayout>
                  <c:x val="3.1334401438833558E-2"/>
                  <c:y val="0.3173304934945987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4701-4D7C-9D46-011C3B01762F}"/>
                </c:ext>
                <c:ext xmlns:c15="http://schemas.microsoft.com/office/drawing/2012/chart" uri="{CE6537A1-D6FC-4f65-9D91-7224C49458BB}"/>
              </c:extLst>
            </c:dLbl>
            <c:dLbl>
              <c:idx val="14"/>
              <c:layout>
                <c:manualLayout>
                  <c:x val="-7.5959020234356425E-2"/>
                  <c:y val="6.1678148171130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4701-4D7C-9D46-011C3B01762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'MDA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'MDA Chts'!$D$53:$D$67</c:f>
              <c:numCache>
                <c:formatCode>"$"#,##0</c:formatCode>
                <c:ptCount val="15"/>
                <c:pt idx="0">
                  <c:v>210130004</c:v>
                </c:pt>
                <c:pt idx="1">
                  <c:v>48367276</c:v>
                </c:pt>
                <c:pt idx="3">
                  <c:v>0</c:v>
                </c:pt>
                <c:pt idx="4">
                  <c:v>0</c:v>
                </c:pt>
                <c:pt idx="5">
                  <c:v>1113485</c:v>
                </c:pt>
                <c:pt idx="6">
                  <c:v>175307623</c:v>
                </c:pt>
                <c:pt idx="7">
                  <c:v>203066911</c:v>
                </c:pt>
                <c:pt idx="8">
                  <c:v>0</c:v>
                </c:pt>
                <c:pt idx="9">
                  <c:v>274373028</c:v>
                </c:pt>
                <c:pt idx="10">
                  <c:v>2031065</c:v>
                </c:pt>
                <c:pt idx="11">
                  <c:v>44292397</c:v>
                </c:pt>
                <c:pt idx="12">
                  <c:v>122054502</c:v>
                </c:pt>
                <c:pt idx="13">
                  <c:v>403758919</c:v>
                </c:pt>
                <c:pt idx="14">
                  <c:v>3680395600</c:v>
                </c:pt>
              </c:numCache>
            </c:numRef>
          </c:val>
          <c:extLst xmlns:c16r2="http://schemas.microsoft.com/office/drawing/2015/06/chart">
            <c:ext xmlns:c16="http://schemas.microsoft.com/office/drawing/2014/chart" uri="{C3380CC4-5D6E-409C-BE32-E72D297353CC}">
              <c16:uniqueId val="{0000001D-4701-4D7C-9D46-011C3B01762F}"/>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52"/>
          <c:y val="2.4423337856174846E-2"/>
        </c:manualLayout>
      </c:layout>
      <c:overlay val="0"/>
      <c:spPr>
        <a:noFill/>
        <a:ln w="25400">
          <a:noFill/>
        </a:ln>
      </c:spPr>
    </c:title>
    <c:autoTitleDeleted val="0"/>
    <c:plotArea>
      <c:layout>
        <c:manualLayout>
          <c:layoutTarget val="inner"/>
          <c:xMode val="edge"/>
          <c:yMode val="edge"/>
          <c:x val="0.39549741405536981"/>
          <c:y val="0.29987841950355504"/>
          <c:w val="0.21863674503437244"/>
          <c:h val="0.3506375129024768"/>
        </c:manualLayout>
      </c:layout>
      <c:pieChart>
        <c:varyColors val="1"/>
        <c:ser>
          <c:idx val="0"/>
          <c:order val="0"/>
          <c:tx>
            <c:strRef>
              <c:f>'MDA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936-4AF8-9F83-5B06B474944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936-4AF8-9F83-5B06B474944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936-4AF8-9F83-5B06B474944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936-4AF8-9F83-5B06B474944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936-4AF8-9F83-5B06B474944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936-4AF8-9F83-5B06B474944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936-4AF8-9F83-5B06B474944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936-4AF8-9F83-5B06B474944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936-4AF8-9F83-5B06B474944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936-4AF8-9F83-5B06B474944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936-4AF8-9F83-5B06B4749443}"/>
              </c:ext>
            </c:extLst>
          </c:dPt>
          <c:dLbls>
            <c:dLbl>
              <c:idx val="0"/>
              <c:layout>
                <c:manualLayout>
                  <c:x val="0.15407079358362935"/>
                  <c:y val="0.1649997328432560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0936-4AF8-9F83-5B06B4749443}"/>
                </c:ext>
                <c:ext xmlns:c15="http://schemas.microsoft.com/office/drawing/2012/chart" uri="{CE6537A1-D6FC-4f65-9D91-7224C49458BB}"/>
              </c:extLst>
            </c:dLbl>
            <c:dLbl>
              <c:idx val="1"/>
              <c:layout>
                <c:manualLayout>
                  <c:x val="0.15797804525644821"/>
                  <c:y val="0.215431159920026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936-4AF8-9F83-5B06B4749443}"/>
                </c:ext>
                <c:ext xmlns:c15="http://schemas.microsoft.com/office/drawing/2012/chart" uri="{CE6537A1-D6FC-4f65-9D91-7224C49458BB}"/>
              </c:extLst>
            </c:dLbl>
            <c:dLbl>
              <c:idx val="2"/>
              <c:layout>
                <c:manualLayout>
                  <c:x val="4.6834270750585806E-2"/>
                  <c:y val="0.330738340472010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936-4AF8-9F83-5B06B4749443}"/>
                </c:ext>
                <c:ext xmlns:c15="http://schemas.microsoft.com/office/drawing/2012/chart" uri="{CE6537A1-D6FC-4f65-9D91-7224C49458BB}"/>
              </c:extLst>
            </c:dLbl>
            <c:dLbl>
              <c:idx val="3"/>
              <c:layout>
                <c:manualLayout>
                  <c:x val="-8.9667671660079176E-2"/>
                  <c:y val="0.329192144285788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936-4AF8-9F83-5B06B4749443}"/>
                </c:ext>
                <c:ext xmlns:c15="http://schemas.microsoft.com/office/drawing/2012/chart" uri="{CE6537A1-D6FC-4f65-9D91-7224C49458BB}"/>
              </c:extLst>
            </c:dLbl>
            <c:dLbl>
              <c:idx val="4"/>
              <c:layout>
                <c:manualLayout>
                  <c:x val="-0.13787076358779798"/>
                  <c:y val="0.239478255223885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936-4AF8-9F83-5B06B4749443}"/>
                </c:ext>
                <c:ext xmlns:c15="http://schemas.microsoft.com/office/drawing/2012/chart" uri="{CE6537A1-D6FC-4f65-9D91-7224C49458BB}"/>
              </c:extLst>
            </c:dLbl>
            <c:dLbl>
              <c:idx val="5"/>
              <c:layout>
                <c:manualLayout>
                  <c:x val="-0.13689019643847974"/>
                  <c:y val="0.151482246422001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936-4AF8-9F83-5B06B4749443}"/>
                </c:ext>
                <c:ext xmlns:c15="http://schemas.microsoft.com/office/drawing/2012/chart" uri="{CE6537A1-D6FC-4f65-9D91-7224C49458BB}"/>
              </c:extLst>
            </c:dLbl>
            <c:dLbl>
              <c:idx val="6"/>
              <c:layout>
                <c:manualLayout>
                  <c:x val="-0.14457658070712986"/>
                  <c:y val="8.901586429802146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936-4AF8-9F83-5B06B4749443}"/>
                </c:ext>
                <c:ext xmlns:c15="http://schemas.microsoft.com/office/drawing/2012/chart" uri="{CE6537A1-D6FC-4f65-9D91-7224C49458BB}"/>
              </c:extLst>
            </c:dLbl>
            <c:dLbl>
              <c:idx val="7"/>
              <c:layout>
                <c:manualLayout>
                  <c:x val="-0.18262766144096704"/>
                  <c:y val="-9.801547552276985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936-4AF8-9F83-5B06B4749443}"/>
                </c:ext>
                <c:ext xmlns:c15="http://schemas.microsoft.com/office/drawing/2012/chart" uri="{CE6537A1-D6FC-4f65-9D91-7224C49458BB}"/>
              </c:extLst>
            </c:dLbl>
            <c:dLbl>
              <c:idx val="8"/>
              <c:layout>
                <c:manualLayout>
                  <c:x val="-0.1509300703647459"/>
                  <c:y val="-0.14584321904045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936-4AF8-9F83-5B06B4749443}"/>
                </c:ext>
                <c:ext xmlns:c15="http://schemas.microsoft.com/office/drawing/2012/chart" uri="{CE6537A1-D6FC-4f65-9D91-7224C49458BB}"/>
              </c:extLst>
            </c:dLbl>
            <c:dLbl>
              <c:idx val="9"/>
              <c:layout>
                <c:manualLayout>
                  <c:x val="-4.6191489357657663E-2"/>
                  <c:y val="-0.222316227584652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936-4AF8-9F83-5B06B4749443}"/>
                </c:ext>
                <c:ext xmlns:c15="http://schemas.microsoft.com/office/drawing/2012/chart" uri="{CE6537A1-D6FC-4f65-9D91-7224C49458BB}"/>
              </c:extLst>
            </c:dLbl>
            <c:dLbl>
              <c:idx val="10"/>
              <c:layout>
                <c:manualLayout>
                  <c:x val="0.11590955705585403"/>
                  <c:y val="-0.195704149954482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936-4AF8-9F83-5B06B4749443}"/>
                </c:ext>
                <c:ext xmlns:c15="http://schemas.microsoft.com/office/drawing/2012/chart" uri="{CE6537A1-D6FC-4f65-9D91-7224C49458BB}"/>
              </c:extLst>
            </c:dLbl>
            <c:dLbl>
              <c:idx val="11"/>
              <c:layout>
                <c:manualLayout>
                  <c:x val="7.7319489546565534E-2"/>
                  <c:y val="-5.7845344820352186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936-4AF8-9F83-5B06B474944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'MDA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'MDA Chts'!$D$102:$D$113</c:f>
              <c:numCache>
                <c:formatCode>"$"#,##0</c:formatCode>
                <c:ptCount val="12"/>
                <c:pt idx="0">
                  <c:v>77333871</c:v>
                </c:pt>
                <c:pt idx="1">
                  <c:v>750400862</c:v>
                </c:pt>
                <c:pt idx="2">
                  <c:v>15550812</c:v>
                </c:pt>
                <c:pt idx="3">
                  <c:v>141247694</c:v>
                </c:pt>
                <c:pt idx="4">
                  <c:v>271580</c:v>
                </c:pt>
                <c:pt idx="5">
                  <c:v>132530406</c:v>
                </c:pt>
                <c:pt idx="6">
                  <c:v>207402597</c:v>
                </c:pt>
                <c:pt idx="7">
                  <c:v>2812722</c:v>
                </c:pt>
                <c:pt idx="8">
                  <c:v>22631517</c:v>
                </c:pt>
                <c:pt idx="9">
                  <c:v>81859203</c:v>
                </c:pt>
                <c:pt idx="10">
                  <c:v>3942822</c:v>
                </c:pt>
                <c:pt idx="11">
                  <c:v>2723124887</c:v>
                </c:pt>
              </c:numCache>
            </c:numRef>
          </c:val>
          <c:extLst xmlns:c16r2="http://schemas.microsoft.com/office/drawing/2015/06/chart">
            <c:ext xmlns:c16="http://schemas.microsoft.com/office/drawing/2014/chart" uri="{C3380CC4-5D6E-409C-BE32-E72D297353CC}">
              <c16:uniqueId val="{00000017-0936-4AF8-9F83-5B06B4749443}"/>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387156972959003"/>
          <c:y val="0.33594813033231291"/>
          <c:w val="0.2177453625029323"/>
          <c:h val="0.33633899883088658"/>
        </c:manualLayout>
      </c:layout>
      <c:pieChart>
        <c:varyColors val="1"/>
        <c:ser>
          <c:idx val="0"/>
          <c:order val="0"/>
          <c:tx>
            <c:strRef>
              <c:f>'THC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A9C-4472-A941-DFC2B841708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A9C-4472-A941-DFC2B841708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A9C-4472-A941-DFC2B841708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A9C-4472-A941-DFC2B8417080}"/>
              </c:ext>
            </c:extLst>
          </c:dPt>
          <c:dLbls>
            <c:dLbl>
              <c:idx val="0"/>
              <c:layout>
                <c:manualLayout>
                  <c:x val="4.2193417370809651E-2"/>
                  <c:y val="-0.106531343651561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4A9C-4472-A941-DFC2B8417080}"/>
                </c:ext>
                <c:ext xmlns:c15="http://schemas.microsoft.com/office/drawing/2012/chart" uri="{CE6537A1-D6FC-4f65-9D91-7224C49458BB}"/>
              </c:extLst>
            </c:dLbl>
            <c:dLbl>
              <c:idx val="1"/>
              <c:layout>
                <c:manualLayout>
                  <c:x val="8.198189155690927E-2"/>
                  <c:y val="-1.14223487931215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A9C-4472-A941-DFC2B8417080}"/>
                </c:ext>
                <c:ext xmlns:c15="http://schemas.microsoft.com/office/drawing/2012/chart" uri="{CE6537A1-D6FC-4f65-9D91-7224C49458BB}"/>
              </c:extLst>
            </c:dLbl>
            <c:dLbl>
              <c:idx val="2"/>
              <c:layout>
                <c:manualLayout>
                  <c:x val="-4.6162891065096773E-2"/>
                  <c:y val="0.1817802234233026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A9C-4472-A941-DFC2B8417080}"/>
                </c:ext>
                <c:ext xmlns:c15="http://schemas.microsoft.com/office/drawing/2012/chart" uri="{CE6537A1-D6FC-4f65-9D91-7224C49458BB}"/>
              </c:extLst>
            </c:dLbl>
            <c:dLbl>
              <c:idx val="3"/>
              <c:layout>
                <c:manualLayout>
                  <c:x val="-0.18320797280274073"/>
                  <c:y val="2.81566560229024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A9C-4472-A941-DFC2B8417080}"/>
                </c:ext>
                <c:ext xmlns:c15="http://schemas.microsoft.com/office/drawing/2012/chart" uri="{CE6537A1-D6FC-4f65-9D91-7224C49458BB}"/>
              </c:extLst>
            </c:dLbl>
            <c:dLbl>
              <c:idx val="4"/>
              <c:layout>
                <c:manualLayout>
                  <c:x val="-2.4867381704594235E-3"/>
                  <c:y val="-0.141024290761467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A9C-4472-A941-DFC2B841708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'THC Chts'!$C$11:$C$15</c:f>
              <c:strCache>
                <c:ptCount val="5"/>
                <c:pt idx="0">
                  <c:v>State of Texas</c:v>
                </c:pt>
                <c:pt idx="1">
                  <c:v>Student &amp; Parent</c:v>
                </c:pt>
                <c:pt idx="2">
                  <c:v>Federal Government</c:v>
                </c:pt>
                <c:pt idx="3">
                  <c:v>Institutional Resources</c:v>
                </c:pt>
                <c:pt idx="4">
                  <c:v>Hospitals, Clinics, Professional Fees</c:v>
                </c:pt>
              </c:strCache>
            </c:strRef>
          </c:cat>
          <c:val>
            <c:numRef>
              <c:f>'THC Chts'!$D$11:$D$15</c:f>
              <c:numCache>
                <c:formatCode>"$"#,##0</c:formatCode>
                <c:ptCount val="5"/>
                <c:pt idx="0">
                  <c:v>64528570</c:v>
                </c:pt>
                <c:pt idx="1">
                  <c:v>182967</c:v>
                </c:pt>
                <c:pt idx="2">
                  <c:v>10226513</c:v>
                </c:pt>
                <c:pt idx="3">
                  <c:v>42828488</c:v>
                </c:pt>
                <c:pt idx="4">
                  <c:v>79915088</c:v>
                </c:pt>
              </c:numCache>
            </c:numRef>
          </c:val>
          <c:extLst xmlns:c16r2="http://schemas.microsoft.com/office/drawing/2015/06/chart">
            <c:ext xmlns:c16="http://schemas.microsoft.com/office/drawing/2014/chart" uri="{C3380CC4-5D6E-409C-BE32-E72D297353CC}">
              <c16:uniqueId val="{00000009-4A9C-4472-A941-DFC2B8417080}"/>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69632919431"/>
          <c:y val="4.2105290209504917E-2"/>
        </c:manualLayout>
      </c:layout>
      <c:overlay val="0"/>
      <c:spPr>
        <a:noFill/>
        <a:ln w="25400">
          <a:noFill/>
        </a:ln>
      </c:spPr>
    </c:title>
    <c:autoTitleDeleted val="0"/>
    <c:plotArea>
      <c:layout>
        <c:manualLayout>
          <c:layoutTarget val="inner"/>
          <c:xMode val="edge"/>
          <c:yMode val="edge"/>
          <c:x val="0.40065968312828598"/>
          <c:y val="0.36184233773793945"/>
          <c:w val="0.20527625740523617"/>
          <c:h val="0.32763178944271032"/>
        </c:manualLayout>
      </c:layout>
      <c:pieChart>
        <c:varyColors val="1"/>
        <c:ser>
          <c:idx val="0"/>
          <c:order val="0"/>
          <c:tx>
            <c:strRef>
              <c:f>'Smmy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23B-4291-93C2-CE99CB02D48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23B-4291-93C2-CE99CB02D48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23B-4291-93C2-CE99CB02D48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23B-4291-93C2-CE99CB02D48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23B-4291-93C2-CE99CB02D48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23B-4291-93C2-CE99CB02D48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23B-4291-93C2-CE99CB02D48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23B-4291-93C2-CE99CB02D48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23B-4291-93C2-CE99CB02D48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23B-4291-93C2-CE99CB02D48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23B-4291-93C2-CE99CB02D48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23B-4291-93C2-CE99CB02D488}"/>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423B-4291-93C2-CE99CB02D488}"/>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423B-4291-93C2-CE99CB02D488}"/>
              </c:ext>
            </c:extLst>
          </c:dPt>
          <c:dLbls>
            <c:dLbl>
              <c:idx val="0"/>
              <c:layout>
                <c:manualLayout>
                  <c:x val="-0.36296453841421417"/>
                  <c:y val="-7.32620789577382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423B-4291-93C2-CE99CB02D488}"/>
                </c:ext>
                <c:ext xmlns:c15="http://schemas.microsoft.com/office/drawing/2012/chart" uri="{CE6537A1-D6FC-4f65-9D91-7224C49458BB}"/>
              </c:extLst>
            </c:dLbl>
            <c:dLbl>
              <c:idx val="1"/>
              <c:layout>
                <c:manualLayout>
                  <c:x val="-0.12744407540341371"/>
                  <c:y val="-0.138350817672299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23B-4291-93C2-CE99CB02D48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23B-4291-93C2-CE99CB02D488}"/>
                </c:ext>
                <c:ext xmlns:c15="http://schemas.microsoft.com/office/drawing/2012/chart" uri="{CE6537A1-D6FC-4f65-9D91-7224C49458BB}"/>
              </c:extLst>
            </c:dLbl>
            <c:dLbl>
              <c:idx val="3"/>
              <c:layout>
                <c:manualLayout>
                  <c:x val="2.8992009966287764E-2"/>
                  <c:y val="-0.17393726205129431"/>
                </c:manualLayout>
              </c:layout>
              <c:tx>
                <c:rich>
                  <a:bodyPr/>
                  <a:lstStyle/>
                  <a:p>
                    <a:r>
                      <a:rPr lang="en-US"/>
                      <a:t>Higher Education  Fund
$25,744,834, 0%</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23B-4291-93C2-CE99CB02D48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23B-4291-93C2-CE99CB02D488}"/>
                </c:ext>
                <c:ext xmlns:c15="http://schemas.microsoft.com/office/drawing/2012/chart" uri="{CE6537A1-D6FC-4f65-9D91-7224C49458BB}"/>
              </c:extLst>
            </c:dLbl>
            <c:dLbl>
              <c:idx val="5"/>
              <c:layout>
                <c:manualLayout>
                  <c:x val="0.13812538214039186"/>
                  <c:y val="-0.10486423796802499"/>
                </c:manualLayout>
              </c:layout>
              <c:tx>
                <c:rich>
                  <a:bodyPr/>
                  <a:lstStyle/>
                  <a:p>
                    <a:r>
                      <a:rPr lang="en-US"/>
                      <a:t>Tuition &amp; Fees
$206,155,560, 2%</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23B-4291-93C2-CE99CB02D488}"/>
                </c:ext>
                <c:ext xmlns:c15="http://schemas.microsoft.com/office/drawing/2012/chart" uri="{CE6537A1-D6FC-4f65-9D91-7224C49458BB}"/>
              </c:extLst>
            </c:dLbl>
            <c:dLbl>
              <c:idx val="6"/>
              <c:layout>
                <c:manualLayout>
                  <c:x val="0.15725498302540783"/>
                  <c:y val="-4.2214541611734463E-2"/>
                </c:manualLayout>
              </c:layout>
              <c:tx>
                <c:rich>
                  <a:bodyPr/>
                  <a:lstStyle/>
                  <a:p>
                    <a:r>
                      <a:rPr lang="en-US"/>
                      <a:t>Federal Grants &amp; Contracts
$966,627,400, 9%</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23B-4291-93C2-CE99CB02D488}"/>
                </c:ext>
                <c:ext xmlns:c15="http://schemas.microsoft.com/office/drawing/2012/chart" uri="{CE6537A1-D6FC-4f65-9D91-7224C49458BB}"/>
              </c:extLst>
            </c:dLbl>
            <c:dLbl>
              <c:idx val="7"/>
              <c:layout>
                <c:manualLayout>
                  <c:x val="0.14271831749894259"/>
                  <c:y val="2.3276218878455466E-2"/>
                </c:manualLayout>
              </c:layout>
              <c:tx>
                <c:rich>
                  <a:bodyPr/>
                  <a:lstStyle/>
                  <a:p>
                    <a:r>
                      <a:rPr lang="en-US"/>
                      <a:t>Endowment &amp; Interest Income
$273,761,377, 3%</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23B-4291-93C2-CE99CB02D488}"/>
                </c:ext>
                <c:ext xmlns:c15="http://schemas.microsoft.com/office/drawing/2012/chart" uri="{CE6537A1-D6FC-4f65-9D91-7224C49458BB}"/>
              </c:extLst>
            </c:dLbl>
            <c:dLbl>
              <c:idx val="8"/>
              <c:layout>
                <c:manualLayout>
                  <c:x val="0.15078986185746279"/>
                  <c:y val="8.111518495181670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23B-4291-93C2-CE99CB02D488}"/>
                </c:ext>
                <c:ext xmlns:c15="http://schemas.microsoft.com/office/drawing/2012/chart" uri="{CE6537A1-D6FC-4f65-9D91-7224C49458BB}"/>
              </c:extLst>
            </c:dLbl>
            <c:dLbl>
              <c:idx val="9"/>
              <c:layout>
                <c:manualLayout>
                  <c:x val="0.13183351848571417"/>
                  <c:y val="0.109305120244953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23B-4291-93C2-CE99CB02D488}"/>
                </c:ext>
                <c:ext xmlns:c15="http://schemas.microsoft.com/office/drawing/2012/chart" uri="{CE6537A1-D6FC-4f65-9D91-7224C49458BB}"/>
              </c:extLst>
            </c:dLbl>
            <c:dLbl>
              <c:idx val="10"/>
              <c:layout>
                <c:manualLayout>
                  <c:x val="3.3836301410826074E-2"/>
                  <c:y val="0.166658172190106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23B-4291-93C2-CE99CB02D488}"/>
                </c:ext>
                <c:ext xmlns:c15="http://schemas.microsoft.com/office/drawing/2012/chart" uri="{CE6537A1-D6FC-4f65-9D91-7224C49458BB}"/>
              </c:extLst>
            </c:dLbl>
            <c:dLbl>
              <c:idx val="11"/>
              <c:layout>
                <c:manualLayout>
                  <c:x val="-0.10982735002538678"/>
                  <c:y val="0.143292798893943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23B-4291-93C2-CE99CB02D488}"/>
                </c:ext>
                <c:ext xmlns:c15="http://schemas.microsoft.com/office/drawing/2012/chart" uri="{CE6537A1-D6FC-4f65-9D91-7224C49458BB}"/>
              </c:extLst>
            </c:dLbl>
            <c:dLbl>
              <c:idx val="12"/>
              <c:layout>
                <c:manualLayout>
                  <c:x val="-0.25556288835439389"/>
                  <c:y val="0.154274277777802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23B-4291-93C2-CE99CB02D488}"/>
                </c:ext>
                <c:ext xmlns:c15="http://schemas.microsoft.com/office/drawing/2012/chart" uri="{CE6537A1-D6FC-4f65-9D91-7224C49458BB}"/>
              </c:extLst>
            </c:dLbl>
            <c:dLbl>
              <c:idx val="13"/>
              <c:layout>
                <c:manualLayout>
                  <c:x val="-0.22474134349827959"/>
                  <c:y val="6.80971365194686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423B-4291-93C2-CE99CB02D488}"/>
                </c:ext>
                <c:ext xmlns:c15="http://schemas.microsoft.com/office/drawing/2012/chart" uri="{CE6537A1-D6FC-4f65-9D91-7224C49458BB}"/>
              </c:extLst>
            </c:dLbl>
            <c:dLbl>
              <c:idx val="14"/>
              <c:layout>
                <c:manualLayout>
                  <c:x val="-0.1094759064481461"/>
                  <c:y val="4.40633306075835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423B-4291-93C2-CE99CB02D488}"/>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'Smmy Chts'!$D$53:$D$67</c:f>
              <c:numCache>
                <c:formatCode>"$"#,##0</c:formatCode>
                <c:ptCount val="15"/>
                <c:pt idx="0">
                  <c:v>1745264029</c:v>
                </c:pt>
                <c:pt idx="1">
                  <c:v>180504283</c:v>
                </c:pt>
                <c:pt idx="3">
                  <c:v>46698327</c:v>
                </c:pt>
                <c:pt idx="4">
                  <c:v>43576597</c:v>
                </c:pt>
                <c:pt idx="5">
                  <c:v>306005779</c:v>
                </c:pt>
                <c:pt idx="6">
                  <c:v>892704561</c:v>
                </c:pt>
                <c:pt idx="7">
                  <c:v>544285096</c:v>
                </c:pt>
                <c:pt idx="8">
                  <c:v>940655596</c:v>
                </c:pt>
                <c:pt idx="9">
                  <c:v>1017149586</c:v>
                </c:pt>
                <c:pt idx="10">
                  <c:v>209052351</c:v>
                </c:pt>
                <c:pt idx="11">
                  <c:v>123232260</c:v>
                </c:pt>
                <c:pt idx="12">
                  <c:v>514940347</c:v>
                </c:pt>
                <c:pt idx="13">
                  <c:v>2167265544</c:v>
                </c:pt>
                <c:pt idx="14">
                  <c:v>6317449622</c:v>
                </c:pt>
              </c:numCache>
            </c:numRef>
          </c:val>
          <c:extLst xmlns:c16r2="http://schemas.microsoft.com/office/drawing/2015/06/chart">
            <c:ext xmlns:c16="http://schemas.microsoft.com/office/drawing/2014/chart" uri="{C3380CC4-5D6E-409C-BE32-E72D297353CC}">
              <c16:uniqueId val="{0000001D-423B-4291-93C2-CE99CB02D488}"/>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8990276995692486"/>
          <c:y val="0.29221124775667257"/>
          <c:w val="0.21633928831575194"/>
          <c:h val="0.33600274469809338"/>
        </c:manualLayout>
      </c:layout>
      <c:pieChart>
        <c:varyColors val="1"/>
        <c:ser>
          <c:idx val="0"/>
          <c:order val="0"/>
          <c:tx>
            <c:strRef>
              <c:f>'THC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902-4812-B9F7-4C41A93E1CB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902-4812-B9F7-4C41A93E1CB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902-4812-B9F7-4C41A93E1CB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902-4812-B9F7-4C41A93E1CB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902-4812-B9F7-4C41A93E1CB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902-4812-B9F7-4C41A93E1CB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902-4812-B9F7-4C41A93E1CB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902-4812-B9F7-4C41A93E1CB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902-4812-B9F7-4C41A93E1CB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902-4812-B9F7-4C41A93E1CB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902-4812-B9F7-4C41A93E1CB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5902-4812-B9F7-4C41A93E1CB3}"/>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5902-4812-B9F7-4C41A93E1CB3}"/>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5902-4812-B9F7-4C41A93E1CB3}"/>
              </c:ext>
            </c:extLst>
          </c:dPt>
          <c:dLbls>
            <c:dLbl>
              <c:idx val="0"/>
              <c:layout>
                <c:manualLayout>
                  <c:x val="-0.16787588353757754"/>
                  <c:y val="-0.112600377085951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5902-4812-B9F7-4C41A93E1CB3}"/>
                </c:ext>
                <c:ext xmlns:c15="http://schemas.microsoft.com/office/drawing/2012/chart" uri="{CE6537A1-D6FC-4f65-9D91-7224C49458BB}"/>
              </c:extLst>
            </c:dLbl>
            <c:dLbl>
              <c:idx val="1"/>
              <c:layout>
                <c:manualLayout>
                  <c:x val="5.3498238232515399E-2"/>
                  <c:y val="-0.342137664768516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902-4812-B9F7-4C41A93E1CB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5902-4812-B9F7-4C41A93E1CB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5902-4812-B9F7-4C41A93E1CB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5902-4812-B9F7-4C41A93E1CB3}"/>
                </c:ext>
                <c:ext xmlns:c15="http://schemas.microsoft.com/office/drawing/2012/chart" uri="{CE6537A1-D6FC-4f65-9D91-7224C49458BB}"/>
              </c:extLst>
            </c:dLbl>
            <c:dLbl>
              <c:idx val="5"/>
              <c:layout>
                <c:manualLayout>
                  <c:x val="0.13401176103957552"/>
                  <c:y val="-0.238106985856046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902-4812-B9F7-4C41A93E1CB3}"/>
                </c:ext>
                <c:ext xmlns:c15="http://schemas.microsoft.com/office/drawing/2012/chart" uri="{CE6537A1-D6FC-4f65-9D91-7224C49458BB}"/>
              </c:extLst>
            </c:dLbl>
            <c:dLbl>
              <c:idx val="6"/>
              <c:layout>
                <c:manualLayout>
                  <c:x val="0.12387486863515519"/>
                  <c:y val="-0.112333841713747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902-4812-B9F7-4C41A93E1CB3}"/>
                </c:ext>
                <c:ext xmlns:c15="http://schemas.microsoft.com/office/drawing/2012/chart" uri="{CE6537A1-D6FC-4f65-9D91-7224C49458BB}"/>
              </c:extLst>
            </c:dLbl>
            <c:dLbl>
              <c:idx val="7"/>
              <c:layout>
                <c:manualLayout>
                  <c:x val="0.13640959596495733"/>
                  <c:y val="5.183166443226688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902-4812-B9F7-4C41A93E1CB3}"/>
                </c:ext>
                <c:ext xmlns:c15="http://schemas.microsoft.com/office/drawing/2012/chart" uri="{CE6537A1-D6FC-4f65-9D91-7224C49458BB}"/>
              </c:extLst>
            </c:dLbl>
            <c:dLbl>
              <c:idx val="8"/>
              <c:layout>
                <c:manualLayout>
                  <c:x val="9.6925266482970715E-2"/>
                  <c:y val="0.147481503662156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902-4812-B9F7-4C41A93E1CB3}"/>
                </c:ext>
                <c:ext xmlns:c15="http://schemas.microsoft.com/office/drawing/2012/chart" uri="{CE6537A1-D6FC-4f65-9D91-7224C49458BB}"/>
              </c:extLst>
            </c:dLbl>
            <c:dLbl>
              <c:idx val="9"/>
              <c:layout>
                <c:manualLayout>
                  <c:x val="-3.9895768725082381E-2"/>
                  <c:y val="0.1594628245507624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902-4812-B9F7-4C41A93E1CB3}"/>
                </c:ext>
                <c:ext xmlns:c15="http://schemas.microsoft.com/office/drawing/2012/chart" uri="{CE6537A1-D6FC-4f65-9D91-7224C49458BB}"/>
              </c:extLst>
            </c:dLbl>
            <c:dLbl>
              <c:idx val="10"/>
              <c:layout>
                <c:manualLayout>
                  <c:x val="-0.20199230994369319"/>
                  <c:y val="0.156894829859834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902-4812-B9F7-4C41A93E1CB3}"/>
                </c:ext>
                <c:ext xmlns:c15="http://schemas.microsoft.com/office/drawing/2012/chart" uri="{CE6537A1-D6FC-4f65-9D91-7224C49458BB}"/>
              </c:extLst>
            </c:dLbl>
            <c:dLbl>
              <c:idx val="11"/>
              <c:layout>
                <c:manualLayout>
                  <c:x val="-0.32488497519801401"/>
                  <c:y val="8.025869857118109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902-4812-B9F7-4C41A93E1CB3}"/>
                </c:ext>
                <c:ext xmlns:c15="http://schemas.microsoft.com/office/drawing/2012/chart" uri="{CE6537A1-D6FC-4f65-9D91-7224C49458BB}"/>
              </c:extLst>
            </c:dLbl>
            <c:dLbl>
              <c:idx val="12"/>
              <c:layout>
                <c:manualLayout>
                  <c:x val="-0.20113938625131364"/>
                  <c:y val="-6.05338790647583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5902-4812-B9F7-4C41A93E1CB3}"/>
                </c:ext>
                <c:ext xmlns:c15="http://schemas.microsoft.com/office/drawing/2012/chart" uri="{CE6537A1-D6FC-4f65-9D91-7224C49458BB}"/>
              </c:extLst>
            </c:dLbl>
            <c:dLbl>
              <c:idx val="13"/>
              <c:layout>
                <c:manualLayout>
                  <c:x val="-0.10835656702905419"/>
                  <c:y val="-0.1203575480368407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5902-4812-B9F7-4C41A93E1CB3}"/>
                </c:ext>
                <c:ext xmlns:c15="http://schemas.microsoft.com/office/drawing/2012/chart" uri="{CE6537A1-D6FC-4f65-9D91-7224C49458BB}"/>
              </c:extLst>
            </c:dLbl>
            <c:dLbl>
              <c:idx val="14"/>
              <c:layout>
                <c:manualLayout>
                  <c:x val="-6.2557057457807805E-2"/>
                  <c:y val="-5.58414141579563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5902-4812-B9F7-4C41A93E1CB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'THC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'THC Chts'!$D$53:$D$67</c:f>
              <c:numCache>
                <c:formatCode>"$"#,##0</c:formatCode>
                <c:ptCount val="15"/>
                <c:pt idx="0">
                  <c:v>51387510</c:v>
                </c:pt>
                <c:pt idx="1">
                  <c:v>13141060</c:v>
                </c:pt>
                <c:pt idx="3">
                  <c:v>0</c:v>
                </c:pt>
                <c:pt idx="4">
                  <c:v>0</c:v>
                </c:pt>
                <c:pt idx="5">
                  <c:v>182967</c:v>
                </c:pt>
                <c:pt idx="6">
                  <c:v>10226513</c:v>
                </c:pt>
                <c:pt idx="7">
                  <c:v>4462614</c:v>
                </c:pt>
                <c:pt idx="8">
                  <c:v>0</c:v>
                </c:pt>
                <c:pt idx="9">
                  <c:v>11330290</c:v>
                </c:pt>
                <c:pt idx="10">
                  <c:v>3679021</c:v>
                </c:pt>
                <c:pt idx="11">
                  <c:v>164836</c:v>
                </c:pt>
                <c:pt idx="12">
                  <c:v>23191727</c:v>
                </c:pt>
                <c:pt idx="13">
                  <c:v>17429053</c:v>
                </c:pt>
                <c:pt idx="14">
                  <c:v>62486035</c:v>
                </c:pt>
              </c:numCache>
            </c:numRef>
          </c:val>
          <c:extLst xmlns:c16r2="http://schemas.microsoft.com/office/drawing/2015/06/chart">
            <c:ext xmlns:c16="http://schemas.microsoft.com/office/drawing/2014/chart" uri="{C3380CC4-5D6E-409C-BE32-E72D297353CC}">
              <c16:uniqueId val="{0000001D-5902-4812-B9F7-4C41A93E1CB3}"/>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91123993276032"/>
          <c:y val="1.5604080349236561E-2"/>
        </c:manualLayout>
      </c:layout>
      <c:overlay val="0"/>
      <c:spPr>
        <a:noFill/>
        <a:ln w="25400">
          <a:noFill/>
        </a:ln>
      </c:spPr>
    </c:title>
    <c:autoTitleDeleted val="0"/>
    <c:plotArea>
      <c:layout>
        <c:manualLayout>
          <c:layoutTarget val="inner"/>
          <c:xMode val="edge"/>
          <c:yMode val="edge"/>
          <c:x val="0.388883967074028"/>
          <c:y val="0.31587651843679232"/>
          <c:w val="0.21862228269271086"/>
          <c:h val="0.35061431899923023"/>
        </c:manualLayout>
      </c:layout>
      <c:pieChart>
        <c:varyColors val="1"/>
        <c:ser>
          <c:idx val="0"/>
          <c:order val="0"/>
          <c:tx>
            <c:strRef>
              <c:f>'THC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7ED-46E0-AAF6-66EA50F71DA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7ED-46E0-AAF6-66EA50F71DA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7ED-46E0-AAF6-66EA50F71DA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7ED-46E0-AAF6-66EA50F71DA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7ED-46E0-AAF6-66EA50F71DA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7ED-46E0-AAF6-66EA50F71DA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7ED-46E0-AAF6-66EA50F71DA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7ED-46E0-AAF6-66EA50F71DA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7ED-46E0-AAF6-66EA50F71DA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7ED-46E0-AAF6-66EA50F71DA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7ED-46E0-AAF6-66EA50F71DA3}"/>
              </c:ext>
            </c:extLst>
          </c:dPt>
          <c:dLbls>
            <c:dLbl>
              <c:idx val="0"/>
              <c:layout>
                <c:manualLayout>
                  <c:x val="0.24053583203271722"/>
                  <c:y val="5.58613878979237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07ED-46E0-AAF6-66EA50F71DA3}"/>
                </c:ext>
                <c:ext xmlns:c15="http://schemas.microsoft.com/office/drawing/2012/chart" uri="{CE6537A1-D6FC-4f65-9D91-7224C49458BB}"/>
              </c:extLst>
            </c:dLbl>
            <c:dLbl>
              <c:idx val="1"/>
              <c:layout>
                <c:manualLayout>
                  <c:x val="0.21426096998237751"/>
                  <c:y val="0.160944076016655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7ED-46E0-AAF6-66EA50F71DA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7ED-46E0-AAF6-66EA50F71DA3}"/>
                </c:ext>
                <c:ext xmlns:c15="http://schemas.microsoft.com/office/drawing/2012/chart" uri="{CE6537A1-D6FC-4f65-9D91-7224C49458BB}"/>
              </c:extLst>
            </c:dLbl>
            <c:dLbl>
              <c:idx val="3"/>
              <c:layout>
                <c:manualLayout>
                  <c:x val="9.5174389658232494E-2"/>
                  <c:y val="0.203122844883824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7ED-46E0-AAF6-66EA50F71DA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7ED-46E0-AAF6-66EA50F71DA3}"/>
                </c:ext>
                <c:ext xmlns:c15="http://schemas.microsoft.com/office/drawing/2012/chart" uri="{CE6537A1-D6FC-4f65-9D91-7224C49458BB}"/>
              </c:extLst>
            </c:dLbl>
            <c:dLbl>
              <c:idx val="5"/>
              <c:layout>
                <c:manualLayout>
                  <c:x val="-6.3567593982959913E-2"/>
                  <c:y val="0.215646127904708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7ED-46E0-AAF6-66EA50F71DA3}"/>
                </c:ext>
                <c:ext xmlns:c15="http://schemas.microsoft.com/office/drawing/2012/chart" uri="{CE6537A1-D6FC-4f65-9D91-7224C49458BB}"/>
              </c:extLst>
            </c:dLbl>
            <c:dLbl>
              <c:idx val="6"/>
              <c:layout>
                <c:manualLayout>
                  <c:x val="-0.10463967128841509"/>
                  <c:y val="0.150773325579574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7ED-46E0-AAF6-66EA50F71DA3}"/>
                </c:ext>
                <c:ext xmlns:c15="http://schemas.microsoft.com/office/drawing/2012/chart" uri="{CE6537A1-D6FC-4f65-9D91-7224C49458BB}"/>
              </c:extLst>
            </c:dLbl>
            <c:dLbl>
              <c:idx val="7"/>
              <c:layout>
                <c:manualLayout>
                  <c:x val="-0.16452450053640641"/>
                  <c:y val="2.51015506274455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7ED-46E0-AAF6-66EA50F71DA3}"/>
                </c:ext>
                <c:ext xmlns:c15="http://schemas.microsoft.com/office/drawing/2012/chart" uri="{CE6537A1-D6FC-4f65-9D91-7224C49458BB}"/>
              </c:extLst>
            </c:dLbl>
            <c:dLbl>
              <c:idx val="8"/>
              <c:layout>
                <c:manualLayout>
                  <c:x val="-0.13143724405301643"/>
                  <c:y val="-0.1190312213039485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7ED-46E0-AAF6-66EA50F71DA3}"/>
                </c:ext>
                <c:ext xmlns:c15="http://schemas.microsoft.com/office/drawing/2012/chart" uri="{CE6537A1-D6FC-4f65-9D91-7224C49458BB}"/>
              </c:extLst>
            </c:dLbl>
            <c:dLbl>
              <c:idx val="9"/>
              <c:layout>
                <c:manualLayout>
                  <c:x val="-0.13151960771769339"/>
                  <c:y val="-0.246099511538064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7ED-46E0-AAF6-66EA50F71DA3}"/>
                </c:ext>
                <c:ext xmlns:c15="http://schemas.microsoft.com/office/drawing/2012/chart" uri="{CE6537A1-D6FC-4f65-9D91-7224C49458BB}"/>
              </c:extLst>
            </c:dLbl>
            <c:dLbl>
              <c:idx val="10"/>
              <c:layout>
                <c:manualLayout>
                  <c:x val="3.5256956151726949E-2"/>
                  <c:y val="-0.325295643108412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7ED-46E0-AAF6-66EA50F71DA3}"/>
                </c:ext>
                <c:ext xmlns:c15="http://schemas.microsoft.com/office/drawing/2012/chart" uri="{CE6537A1-D6FC-4f65-9D91-7224C49458BB}"/>
              </c:extLst>
            </c:dLbl>
            <c:dLbl>
              <c:idx val="11"/>
              <c:layout>
                <c:manualLayout>
                  <c:x val="8.6004341646928231E-2"/>
                  <c:y val="4.501797735830707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7ED-46E0-AAF6-66EA50F71DA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'THC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'THC Chts'!$D$102:$D$113</c:f>
              <c:numCache>
                <c:formatCode>"$"#,##0</c:formatCode>
                <c:ptCount val="12"/>
                <c:pt idx="0">
                  <c:v>17373510</c:v>
                </c:pt>
                <c:pt idx="1">
                  <c:v>15946928</c:v>
                </c:pt>
                <c:pt idx="2">
                  <c:v>0</c:v>
                </c:pt>
                <c:pt idx="3">
                  <c:v>1389336</c:v>
                </c:pt>
                <c:pt idx="4">
                  <c:v>0</c:v>
                </c:pt>
                <c:pt idx="5">
                  <c:v>19973480</c:v>
                </c:pt>
                <c:pt idx="6">
                  <c:v>10216797</c:v>
                </c:pt>
                <c:pt idx="7">
                  <c:v>35175</c:v>
                </c:pt>
                <c:pt idx="8">
                  <c:v>144548</c:v>
                </c:pt>
                <c:pt idx="9">
                  <c:v>1343524</c:v>
                </c:pt>
                <c:pt idx="10">
                  <c:v>0</c:v>
                </c:pt>
                <c:pt idx="11">
                  <c:v>146832357</c:v>
                </c:pt>
              </c:numCache>
            </c:numRef>
          </c:val>
          <c:extLst xmlns:c16r2="http://schemas.microsoft.com/office/drawing/2015/06/chart">
            <c:ext xmlns:c16="http://schemas.microsoft.com/office/drawing/2014/chart" uri="{C3380CC4-5D6E-409C-BE32-E72D297353CC}">
              <c16:uniqueId val="{00000017-07ED-46E0-AAF6-66EA50F71DA3}"/>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36E-2"/>
        </c:manualLayout>
      </c:layout>
      <c:overlay val="0"/>
      <c:spPr>
        <a:noFill/>
        <a:ln w="25400">
          <a:noFill/>
        </a:ln>
      </c:spPr>
    </c:title>
    <c:autoTitleDeleted val="0"/>
    <c:plotArea>
      <c:layout>
        <c:manualLayout>
          <c:layoutTarget val="inner"/>
          <c:xMode val="edge"/>
          <c:yMode val="edge"/>
          <c:x val="0.39607123127613886"/>
          <c:y val="0.34104467030336238"/>
          <c:w val="0.22214468559605341"/>
          <c:h val="0.34313438545894281"/>
        </c:manualLayout>
      </c:layout>
      <c:pieChart>
        <c:varyColors val="1"/>
        <c:ser>
          <c:idx val="0"/>
          <c:order val="0"/>
          <c:tx>
            <c:strRef>
              <c:f>'TAMHSC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0E4-4114-BD0D-741E34D343B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0E4-4114-BD0D-741E34D343B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0E4-4114-BD0D-741E34D343B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0E4-4114-BD0D-741E34D343BC}"/>
              </c:ext>
            </c:extLst>
          </c:dPt>
          <c:dLbls>
            <c:dLbl>
              <c:idx val="0"/>
              <c:layout>
                <c:manualLayout>
                  <c:x val="7.5479142799922919E-2"/>
                  <c:y val="8.67494097862610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00E4-4114-BD0D-741E34D343BC}"/>
                </c:ext>
                <c:ext xmlns:c15="http://schemas.microsoft.com/office/drawing/2012/chart" uri="{CE6537A1-D6FC-4f65-9D91-7224C49458BB}"/>
              </c:extLst>
            </c:dLbl>
            <c:dLbl>
              <c:idx val="1"/>
              <c:layout>
                <c:manualLayout>
                  <c:x val="-3.8056657291994547E-2"/>
                  <c:y val="0.10564468267004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0E4-4114-BD0D-741E34D343BC}"/>
                </c:ext>
                <c:ext xmlns:c15="http://schemas.microsoft.com/office/drawing/2012/chart" uri="{CE6537A1-D6FC-4f65-9D91-7224C49458BB}"/>
              </c:extLst>
            </c:dLbl>
            <c:dLbl>
              <c:idx val="2"/>
              <c:layout>
                <c:manualLayout>
                  <c:x val="-7.9946684454943517E-2"/>
                  <c:y val="-3.35382359261675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0E4-4114-BD0D-741E34D343BC}"/>
                </c:ext>
                <c:ext xmlns:c15="http://schemas.microsoft.com/office/drawing/2012/chart" uri="{CE6537A1-D6FC-4f65-9D91-7224C49458BB}"/>
              </c:extLst>
            </c:dLbl>
            <c:dLbl>
              <c:idx val="3"/>
              <c:layout>
                <c:manualLayout>
                  <c:x val="6.6782430740356419E-2"/>
                  <c:y val="-9.87339450342607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0E4-4114-BD0D-741E34D343B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0E4-4114-BD0D-741E34D343B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'TAMHSC Chts'!$C$11:$C$15</c:f>
              <c:strCache>
                <c:ptCount val="5"/>
                <c:pt idx="0">
                  <c:v>State of Texas</c:v>
                </c:pt>
                <c:pt idx="1">
                  <c:v>Student &amp; Parent</c:v>
                </c:pt>
                <c:pt idx="2">
                  <c:v>Federal Government</c:v>
                </c:pt>
                <c:pt idx="3">
                  <c:v>Institutional Resources</c:v>
                </c:pt>
                <c:pt idx="4">
                  <c:v>Hospitals, Clinics, Professional Fees</c:v>
                </c:pt>
              </c:strCache>
            </c:strRef>
          </c:cat>
          <c:val>
            <c:numRef>
              <c:f>'TAMHSC Chts'!$D$11:$D$15</c:f>
              <c:numCache>
                <c:formatCode>"$"#,##0</c:formatCode>
                <c:ptCount val="5"/>
                <c:pt idx="0">
                  <c:v>185992441</c:v>
                </c:pt>
                <c:pt idx="1">
                  <c:v>38150656</c:v>
                </c:pt>
                <c:pt idx="2">
                  <c:v>42170209</c:v>
                </c:pt>
                <c:pt idx="3">
                  <c:v>78850978</c:v>
                </c:pt>
                <c:pt idx="4">
                  <c:v>0</c:v>
                </c:pt>
              </c:numCache>
            </c:numRef>
          </c:val>
          <c:extLst xmlns:c16r2="http://schemas.microsoft.com/office/drawing/2015/06/chart">
            <c:ext xmlns:c16="http://schemas.microsoft.com/office/drawing/2014/chart" uri="{C3380CC4-5D6E-409C-BE32-E72D297353CC}">
              <c16:uniqueId val="{00000009-00E4-4114-BD0D-741E34D343B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2235001899055147"/>
          <c:y val="1.8119572960426801E-2"/>
        </c:manualLayout>
      </c:layout>
      <c:overlay val="0"/>
      <c:spPr>
        <a:noFill/>
        <a:ln w="25400">
          <a:noFill/>
        </a:ln>
      </c:spPr>
    </c:title>
    <c:autoTitleDeleted val="0"/>
    <c:plotArea>
      <c:layout>
        <c:manualLayout>
          <c:layoutTarget val="inner"/>
          <c:xMode val="edge"/>
          <c:yMode val="edge"/>
          <c:x val="0.39870853907146964"/>
          <c:y val="0.33858308317953839"/>
          <c:w val="0.21853178216922692"/>
          <c:h val="0.33940796969553605"/>
        </c:manualLayout>
      </c:layout>
      <c:pieChart>
        <c:varyColors val="1"/>
        <c:ser>
          <c:idx val="0"/>
          <c:order val="0"/>
          <c:tx>
            <c:strRef>
              <c:f>'TAMHSC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D50-4527-9EFA-8ACA1E67DA2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D50-4527-9EFA-8ACA1E67DA2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D50-4527-9EFA-8ACA1E67DA2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D50-4527-9EFA-8ACA1E67DA2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D50-4527-9EFA-8ACA1E67DA2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D50-4527-9EFA-8ACA1E67DA2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D50-4527-9EFA-8ACA1E67DA2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D50-4527-9EFA-8ACA1E67DA2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D50-4527-9EFA-8ACA1E67DA2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D50-4527-9EFA-8ACA1E67DA27}"/>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D50-4527-9EFA-8ACA1E67DA27}"/>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D50-4527-9EFA-8ACA1E67DA27}"/>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AD50-4527-9EFA-8ACA1E67DA27}"/>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AD50-4527-9EFA-8ACA1E67DA27}"/>
              </c:ext>
            </c:extLst>
          </c:dPt>
          <c:dLbls>
            <c:dLbl>
              <c:idx val="0"/>
              <c:layout>
                <c:manualLayout>
                  <c:x val="5.21436399564809E-2"/>
                  <c:y val="2.76469599266922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AD50-4527-9EFA-8ACA1E67DA27}"/>
                </c:ext>
                <c:ext xmlns:c15="http://schemas.microsoft.com/office/drawing/2012/chart" uri="{CE6537A1-D6FC-4f65-9D91-7224C49458BB}"/>
              </c:extLst>
            </c:dLbl>
            <c:dLbl>
              <c:idx val="1"/>
              <c:layout>
                <c:manualLayout>
                  <c:x val="0.15669360214407121"/>
                  <c:y val="-5.5951694295046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D50-4527-9EFA-8ACA1E67DA2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D50-4527-9EFA-8ACA1E67DA27}"/>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AD50-4527-9EFA-8ACA1E67DA27}"/>
                </c:ext>
                <c:ext xmlns:c15="http://schemas.microsoft.com/office/drawing/2012/chart" uri="{CE6537A1-D6FC-4f65-9D91-7224C49458BB}"/>
              </c:extLst>
            </c:dLbl>
            <c:dLbl>
              <c:idx val="4"/>
              <c:layout>
                <c:manualLayout>
                  <c:x val="3.3130286522243071E-3"/>
                  <c:y val="0.102496823436241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AD50-4527-9EFA-8ACA1E67DA27}"/>
                </c:ext>
                <c:ext xmlns:c15="http://schemas.microsoft.com/office/drawing/2012/chart" uri="{CE6537A1-D6FC-4f65-9D91-7224C49458BB}"/>
              </c:extLst>
            </c:dLbl>
            <c:dLbl>
              <c:idx val="5"/>
              <c:layout>
                <c:manualLayout>
                  <c:x val="-7.2385529433920889E-2"/>
                  <c:y val="0.114415191494546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D50-4527-9EFA-8ACA1E67DA27}"/>
                </c:ext>
                <c:ext xmlns:c15="http://schemas.microsoft.com/office/drawing/2012/chart" uri="{CE6537A1-D6FC-4f65-9D91-7224C49458BB}"/>
              </c:extLst>
            </c:dLbl>
            <c:dLbl>
              <c:idx val="6"/>
              <c:layout>
                <c:manualLayout>
                  <c:x val="-9.3134917464309963E-2"/>
                  <c:y val="0.108244461916317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D50-4527-9EFA-8ACA1E67DA27}"/>
                </c:ext>
                <c:ext xmlns:c15="http://schemas.microsoft.com/office/drawing/2012/chart" uri="{CE6537A1-D6FC-4f65-9D91-7224C49458BB}"/>
              </c:extLst>
            </c:dLbl>
            <c:dLbl>
              <c:idx val="7"/>
              <c:layout>
                <c:manualLayout>
                  <c:x val="-0.12307387262482952"/>
                  <c:y val="4.45407050146061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D50-4527-9EFA-8ACA1E67DA27}"/>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AD50-4527-9EFA-8ACA1E67DA27}"/>
                </c:ext>
                <c:ext xmlns:c15="http://schemas.microsoft.com/office/drawing/2012/chart" uri="{CE6537A1-D6FC-4f65-9D91-7224C49458BB}"/>
              </c:extLst>
            </c:dLbl>
            <c:dLbl>
              <c:idx val="9"/>
              <c:layout>
                <c:manualLayout>
                  <c:x val="-0.12996711424541663"/>
                  <c:y val="-7.86002896431175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D50-4527-9EFA-8ACA1E67DA27}"/>
                </c:ext>
                <c:ext xmlns:c15="http://schemas.microsoft.com/office/drawing/2012/chart" uri="{CE6537A1-D6FC-4f65-9D91-7224C49458BB}"/>
              </c:extLst>
            </c:dLbl>
            <c:dLbl>
              <c:idx val="10"/>
              <c:layout>
                <c:manualLayout>
                  <c:x val="-4.6988802427576651E-2"/>
                  <c:y val="-0.147333812415890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D50-4527-9EFA-8ACA1E67DA27}"/>
                </c:ext>
                <c:ext xmlns:c15="http://schemas.microsoft.com/office/drawing/2012/chart" uri="{CE6537A1-D6FC-4f65-9D91-7224C49458BB}"/>
              </c:extLst>
            </c:dLbl>
            <c:dLbl>
              <c:idx val="11"/>
              <c:layout>
                <c:manualLayout>
                  <c:x val="6.0619846761880578E-2"/>
                  <c:y val="-0.101952935021711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D50-4527-9EFA-8ACA1E67DA27}"/>
                </c:ext>
                <c:ext xmlns:c15="http://schemas.microsoft.com/office/drawing/2012/chart" uri="{CE6537A1-D6FC-4f65-9D91-7224C49458BB}"/>
              </c:extLst>
            </c:dLbl>
            <c:dLbl>
              <c:idx val="12"/>
              <c:layout>
                <c:manualLayout>
                  <c:x val="0.22281058375934484"/>
                  <c:y val="-9.71707736001371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D50-4527-9EFA-8ACA1E67DA27}"/>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9-AD50-4527-9EFA-8ACA1E67DA27}"/>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AD50-4527-9EFA-8ACA1E67DA27}"/>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'TAMHSC Chts'!$D$53:$D$67</c:f>
              <c:numCache>
                <c:formatCode>"$"#,##0</c:formatCode>
                <c:ptCount val="15"/>
                <c:pt idx="0">
                  <c:v>161801242</c:v>
                </c:pt>
                <c:pt idx="1">
                  <c:v>5591867</c:v>
                </c:pt>
                <c:pt idx="3">
                  <c:v>0</c:v>
                </c:pt>
                <c:pt idx="4">
                  <c:v>18599332</c:v>
                </c:pt>
                <c:pt idx="5">
                  <c:v>38150656</c:v>
                </c:pt>
                <c:pt idx="6">
                  <c:v>42170209</c:v>
                </c:pt>
                <c:pt idx="7">
                  <c:v>11274793</c:v>
                </c:pt>
                <c:pt idx="8">
                  <c:v>0</c:v>
                </c:pt>
                <c:pt idx="9">
                  <c:v>13072394</c:v>
                </c:pt>
                <c:pt idx="10">
                  <c:v>40717912</c:v>
                </c:pt>
                <c:pt idx="11">
                  <c:v>1966031</c:v>
                </c:pt>
                <c:pt idx="12">
                  <c:v>11819848</c:v>
                </c:pt>
                <c:pt idx="13">
                  <c:v>0</c:v>
                </c:pt>
                <c:pt idx="14">
                  <c:v>0</c:v>
                </c:pt>
              </c:numCache>
            </c:numRef>
          </c:val>
          <c:extLst xmlns:c16r2="http://schemas.microsoft.com/office/drawing/2015/06/chart">
            <c:ext xmlns:c16="http://schemas.microsoft.com/office/drawing/2014/chart" uri="{C3380CC4-5D6E-409C-BE32-E72D297353CC}">
              <c16:uniqueId val="{0000001D-AD50-4527-9EFA-8ACA1E67DA27}"/>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63"/>
          <c:y val="2.442333785617486E-2"/>
        </c:manualLayout>
      </c:layout>
      <c:overlay val="0"/>
      <c:spPr>
        <a:noFill/>
        <a:ln w="25400">
          <a:noFill/>
        </a:ln>
      </c:spPr>
    </c:title>
    <c:autoTitleDeleted val="0"/>
    <c:plotArea>
      <c:layout>
        <c:manualLayout>
          <c:layoutTarget val="inner"/>
          <c:xMode val="edge"/>
          <c:yMode val="edge"/>
          <c:x val="0.39163682765760122"/>
          <c:y val="0.3068161626102332"/>
          <c:w val="0.21970401388870101"/>
          <c:h val="0.35234913963118625"/>
        </c:manualLayout>
      </c:layout>
      <c:pieChart>
        <c:varyColors val="1"/>
        <c:ser>
          <c:idx val="0"/>
          <c:order val="0"/>
          <c:tx>
            <c:strRef>
              <c:f>'TAMHSC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explosion val="2"/>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3B5-4B6F-87D8-1945BCB935A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3B5-4B6F-87D8-1945BCB935A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3B5-4B6F-87D8-1945BCB935A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3B5-4B6F-87D8-1945BCB935A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3B5-4B6F-87D8-1945BCB935A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3B5-4B6F-87D8-1945BCB935A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3B5-4B6F-87D8-1945BCB935A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3B5-4B6F-87D8-1945BCB935A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3B5-4B6F-87D8-1945BCB935A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3B5-4B6F-87D8-1945BCB935A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3B5-4B6F-87D8-1945BCB935AF}"/>
              </c:ext>
            </c:extLst>
          </c:dPt>
          <c:dLbls>
            <c:dLbl>
              <c:idx val="0"/>
              <c:layout>
                <c:manualLayout>
                  <c:x val="-8.7578133152978119E-2"/>
                  <c:y val="-0.108111810689003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B3B5-4B6F-87D8-1945BCB935AF}"/>
                </c:ext>
                <c:ext xmlns:c15="http://schemas.microsoft.com/office/drawing/2012/chart" uri="{CE6537A1-D6FC-4f65-9D91-7224C49458BB}"/>
              </c:extLst>
            </c:dLbl>
            <c:dLbl>
              <c:idx val="1"/>
              <c:layout>
                <c:manualLayout>
                  <c:x val="-8.7585641615205226E-2"/>
                  <c:y val="-5.69707096801450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3B5-4B6F-87D8-1945BCB935AF}"/>
                </c:ext>
                <c:ext xmlns:c15="http://schemas.microsoft.com/office/drawing/2012/chart" uri="{CE6537A1-D6FC-4f65-9D91-7224C49458BB}"/>
              </c:extLst>
            </c:dLbl>
            <c:dLbl>
              <c:idx val="2"/>
              <c:layout>
                <c:manualLayout>
                  <c:x val="-9.4369584759228325E-2"/>
                  <c:y val="-0.156106364419195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3B5-4B6F-87D8-1945BCB935AF}"/>
                </c:ext>
                <c:ext xmlns:c15="http://schemas.microsoft.com/office/drawing/2012/chart" uri="{CE6537A1-D6FC-4f65-9D91-7224C49458BB}"/>
              </c:extLst>
            </c:dLbl>
            <c:dLbl>
              <c:idx val="3"/>
              <c:layout>
                <c:manualLayout>
                  <c:x val="3.5419982508134239E-2"/>
                  <c:y val="-0.254187371314324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3B5-4B6F-87D8-1945BCB935AF}"/>
                </c:ext>
                <c:ext xmlns:c15="http://schemas.microsoft.com/office/drawing/2012/chart" uri="{CE6537A1-D6FC-4f65-9D91-7224C49458BB}"/>
              </c:extLst>
            </c:dLbl>
            <c:dLbl>
              <c:idx val="4"/>
              <c:layout>
                <c:manualLayout>
                  <c:x val="0.10199742203127284"/>
                  <c:y val="-0.203878960598729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B3B5-4B6F-87D8-1945BCB935AF}"/>
                </c:ext>
                <c:ext xmlns:c15="http://schemas.microsoft.com/office/drawing/2012/chart" uri="{CE6537A1-D6FC-4f65-9D91-7224C49458BB}"/>
              </c:extLst>
            </c:dLbl>
            <c:dLbl>
              <c:idx val="5"/>
              <c:layout>
                <c:manualLayout>
                  <c:x val="0.14583743209831485"/>
                  <c:y val="-0.117932927503600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3B5-4B6F-87D8-1945BCB935AF}"/>
                </c:ext>
                <c:ext xmlns:c15="http://schemas.microsoft.com/office/drawing/2012/chart" uri="{CE6537A1-D6FC-4f65-9D91-7224C49458BB}"/>
              </c:extLst>
            </c:dLbl>
            <c:dLbl>
              <c:idx val="6"/>
              <c:layout>
                <c:manualLayout>
                  <c:x val="0.15512416430340195"/>
                  <c:y val="-8.13941170842388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3B5-4B6F-87D8-1945BCB935AF}"/>
                </c:ext>
                <c:ext xmlns:c15="http://schemas.microsoft.com/office/drawing/2012/chart" uri="{CE6537A1-D6FC-4f65-9D91-7224C49458BB}"/>
              </c:extLst>
            </c:dLbl>
            <c:dLbl>
              <c:idx val="7"/>
              <c:layout>
                <c:manualLayout>
                  <c:x val="0.14956704686097796"/>
                  <c:y val="4.53719132523413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3B5-4B6F-87D8-1945BCB935AF}"/>
                </c:ext>
                <c:ext xmlns:c15="http://schemas.microsoft.com/office/drawing/2012/chart" uri="{CE6537A1-D6FC-4f65-9D91-7224C49458BB}"/>
              </c:extLst>
            </c:dLbl>
            <c:dLbl>
              <c:idx val="8"/>
              <c:layout>
                <c:manualLayout>
                  <c:x val="-2.5907616260934078E-2"/>
                  <c:y val="0.149513805790715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B3B5-4B6F-87D8-1945BCB935AF}"/>
                </c:ext>
                <c:ext xmlns:c15="http://schemas.microsoft.com/office/drawing/2012/chart" uri="{CE6537A1-D6FC-4f65-9D91-7224C49458BB}"/>
              </c:extLst>
            </c:dLbl>
            <c:dLbl>
              <c:idx val="9"/>
              <c:layout>
                <c:manualLayout>
                  <c:x val="-0.17499611745972185"/>
                  <c:y val="0.134315072237940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3B5-4B6F-87D8-1945BCB935AF}"/>
                </c:ext>
                <c:ext xmlns:c15="http://schemas.microsoft.com/office/drawing/2012/chart" uri="{CE6537A1-D6FC-4f65-9D91-7224C49458BB}"/>
              </c:extLst>
            </c:dLbl>
            <c:dLbl>
              <c:idx val="10"/>
              <c:layout>
                <c:manualLayout>
                  <c:x val="-0.27783790883814441"/>
                  <c:y val="5.197146144679666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3B5-4B6F-87D8-1945BCB935A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B3B5-4B6F-87D8-1945BCB935AF}"/>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'TAMHSC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'TAMHSC Chts'!$D$102:$D$113</c:f>
              <c:numCache>
                <c:formatCode>"$"#,##0</c:formatCode>
                <c:ptCount val="12"/>
                <c:pt idx="0">
                  <c:v>115055491</c:v>
                </c:pt>
                <c:pt idx="1">
                  <c:v>69989914</c:v>
                </c:pt>
                <c:pt idx="2">
                  <c:v>11307413</c:v>
                </c:pt>
                <c:pt idx="3">
                  <c:v>33122409</c:v>
                </c:pt>
                <c:pt idx="4">
                  <c:v>5439173</c:v>
                </c:pt>
                <c:pt idx="5">
                  <c:v>14423388</c:v>
                </c:pt>
                <c:pt idx="6">
                  <c:v>23594253</c:v>
                </c:pt>
                <c:pt idx="7">
                  <c:v>2052675</c:v>
                </c:pt>
                <c:pt idx="8">
                  <c:v>2615622</c:v>
                </c:pt>
                <c:pt idx="9">
                  <c:v>3764136</c:v>
                </c:pt>
                <c:pt idx="10">
                  <c:v>871745</c:v>
                </c:pt>
                <c:pt idx="11">
                  <c:v>0</c:v>
                </c:pt>
              </c:numCache>
            </c:numRef>
          </c:val>
          <c:extLst xmlns:c16r2="http://schemas.microsoft.com/office/drawing/2015/06/chart">
            <c:ext xmlns:c16="http://schemas.microsoft.com/office/drawing/2014/chart" uri="{C3380CC4-5D6E-409C-BE32-E72D297353CC}">
              <c16:uniqueId val="{00000017-B3B5-4B6F-87D8-1945BCB935A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824223631821E-2"/>
        </c:manualLayout>
      </c:layout>
      <c:overlay val="0"/>
      <c:spPr>
        <a:noFill/>
        <a:ln w="25400">
          <a:noFill/>
        </a:ln>
      </c:spPr>
    </c:title>
    <c:autoTitleDeleted val="0"/>
    <c:plotArea>
      <c:layout>
        <c:manualLayout>
          <c:layoutTarget val="inner"/>
          <c:xMode val="edge"/>
          <c:yMode val="edge"/>
          <c:x val="0.39307111808883038"/>
          <c:y val="0.31457209129362418"/>
          <c:w val="0.22187068051206391"/>
          <c:h val="0.34271114523667484"/>
        </c:manualLayout>
      </c:layout>
      <c:pieChart>
        <c:varyColors val="1"/>
        <c:ser>
          <c:idx val="0"/>
          <c:order val="0"/>
          <c:tx>
            <c:strRef>
              <c:f>'UNTHSC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E6F-40FC-91EC-E9AB762EC9E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E6F-40FC-91EC-E9AB762EC9E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E6F-40FC-91EC-E9AB762EC9E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E6F-40FC-91EC-E9AB762EC9E5}"/>
              </c:ext>
            </c:extLst>
          </c:dPt>
          <c:dLbls>
            <c:dLbl>
              <c:idx val="0"/>
              <c:layout>
                <c:manualLayout>
                  <c:x val="8.8958444640385839E-2"/>
                  <c:y val="-5.57207351715878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BE6F-40FC-91EC-E9AB762EC9E5}"/>
                </c:ext>
                <c:ext xmlns:c15="http://schemas.microsoft.com/office/drawing/2012/chart" uri="{CE6537A1-D6FC-4f65-9D91-7224C49458BB}"/>
              </c:extLst>
            </c:dLbl>
            <c:dLbl>
              <c:idx val="1"/>
              <c:layout>
                <c:manualLayout>
                  <c:x val="0.13733529755034918"/>
                  <c:y val="5.75766204435882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E6F-40FC-91EC-E9AB762EC9E5}"/>
                </c:ext>
                <c:ext xmlns:c15="http://schemas.microsoft.com/office/drawing/2012/chart" uri="{CE6537A1-D6FC-4f65-9D91-7224C49458BB}"/>
              </c:extLst>
            </c:dLbl>
            <c:dLbl>
              <c:idx val="2"/>
              <c:layout>
                <c:manualLayout>
                  <c:x val="-5.4145816290736724E-3"/>
                  <c:y val="0.126338138960743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E6F-40FC-91EC-E9AB762EC9E5}"/>
                </c:ext>
                <c:ext xmlns:c15="http://schemas.microsoft.com/office/drawing/2012/chart" uri="{CE6537A1-D6FC-4f65-9D91-7224C49458BB}"/>
              </c:extLst>
            </c:dLbl>
            <c:dLbl>
              <c:idx val="3"/>
              <c:layout>
                <c:manualLayout>
                  <c:x val="-8.9557737450227562E-2"/>
                  <c:y val="6.59371950152102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E6F-40FC-91EC-E9AB762EC9E5}"/>
                </c:ext>
                <c:ext xmlns:c15="http://schemas.microsoft.com/office/drawing/2012/chart" uri="{CE6537A1-D6FC-4f65-9D91-7224C49458BB}"/>
              </c:extLst>
            </c:dLbl>
            <c:dLbl>
              <c:idx val="4"/>
              <c:layout>
                <c:manualLayout>
                  <c:x val="1.6804557089630107E-2"/>
                  <c:y val="-6.10098053431644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BE6F-40FC-91EC-E9AB762EC9E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'UNTHSC Chts'!$C$11:$C$15</c:f>
              <c:strCache>
                <c:ptCount val="5"/>
                <c:pt idx="0">
                  <c:v>State of Texas</c:v>
                </c:pt>
                <c:pt idx="1">
                  <c:v>Student &amp; Parent</c:v>
                </c:pt>
                <c:pt idx="2">
                  <c:v>Federal Government</c:v>
                </c:pt>
                <c:pt idx="3">
                  <c:v>Institutional Resources</c:v>
                </c:pt>
                <c:pt idx="4">
                  <c:v>Hospitals, Clinics, Professional Fees</c:v>
                </c:pt>
              </c:strCache>
            </c:strRef>
          </c:cat>
          <c:val>
            <c:numRef>
              <c:f>'UNTHSC Chts'!$D$11:$D$15</c:f>
              <c:numCache>
                <c:formatCode>"$"#,##0</c:formatCode>
                <c:ptCount val="5"/>
                <c:pt idx="0">
                  <c:v>122999249</c:v>
                </c:pt>
                <c:pt idx="1">
                  <c:v>29810882</c:v>
                </c:pt>
                <c:pt idx="2">
                  <c:v>37000670</c:v>
                </c:pt>
                <c:pt idx="3">
                  <c:v>78939605</c:v>
                </c:pt>
                <c:pt idx="4">
                  <c:v>15378723</c:v>
                </c:pt>
              </c:numCache>
            </c:numRef>
          </c:val>
          <c:extLst xmlns:c16r2="http://schemas.microsoft.com/office/drawing/2015/06/chart">
            <c:ext xmlns:c16="http://schemas.microsoft.com/office/drawing/2014/chart" uri="{C3380CC4-5D6E-409C-BE32-E72D297353CC}">
              <c16:uniqueId val="{00000009-BE6F-40FC-91EC-E9AB762EC9E5}"/>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69632919431"/>
          <c:y val="4.1994804475788995E-2"/>
        </c:manualLayout>
      </c:layout>
      <c:overlay val="0"/>
      <c:spPr>
        <a:noFill/>
        <a:ln w="25400">
          <a:noFill/>
        </a:ln>
      </c:spPr>
    </c:title>
    <c:autoTitleDeleted val="0"/>
    <c:plotArea>
      <c:layout>
        <c:manualLayout>
          <c:layoutTarget val="inner"/>
          <c:xMode val="edge"/>
          <c:yMode val="edge"/>
          <c:x val="0.39790577455278048"/>
          <c:y val="0.33084233629669241"/>
          <c:w val="0.21659840358366292"/>
          <c:h val="0.33640518404181691"/>
        </c:manualLayout>
      </c:layout>
      <c:pieChart>
        <c:varyColors val="1"/>
        <c:ser>
          <c:idx val="0"/>
          <c:order val="0"/>
          <c:tx>
            <c:strRef>
              <c:f>'UNTHSC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290-4F06-8190-E9A986D07FC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290-4F06-8190-E9A986D07FC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290-4F06-8190-E9A986D07FC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290-4F06-8190-E9A986D07FC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290-4F06-8190-E9A986D07FC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290-4F06-8190-E9A986D07FC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290-4F06-8190-E9A986D07FC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290-4F06-8190-E9A986D07FC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290-4F06-8190-E9A986D07FC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290-4F06-8190-E9A986D07FC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290-4F06-8190-E9A986D07FC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290-4F06-8190-E9A986D07FCC}"/>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4290-4F06-8190-E9A986D07FCC}"/>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4290-4F06-8190-E9A986D07FCC}"/>
              </c:ext>
            </c:extLst>
          </c:dPt>
          <c:dLbls>
            <c:dLbl>
              <c:idx val="0"/>
              <c:layout>
                <c:manualLayout>
                  <c:x val="-3.6681496865299583E-2"/>
                  <c:y val="-0.188257959964704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4290-4F06-8190-E9A986D07FCC}"/>
                </c:ext>
                <c:ext xmlns:c15="http://schemas.microsoft.com/office/drawing/2012/chart" uri="{CE6537A1-D6FC-4f65-9D91-7224C49458BB}"/>
              </c:extLst>
            </c:dLbl>
            <c:dLbl>
              <c:idx val="1"/>
              <c:layout>
                <c:manualLayout>
                  <c:x val="0.13842772977021864"/>
                  <c:y val="-0.2959015904529253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290-4F06-8190-E9A986D07FC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290-4F06-8190-E9A986D07FCC}"/>
                </c:ext>
                <c:ext xmlns:c15="http://schemas.microsoft.com/office/drawing/2012/chart" uri="{CE6537A1-D6FC-4f65-9D91-7224C49458BB}"/>
              </c:extLst>
            </c:dLbl>
            <c:dLbl>
              <c:idx val="3"/>
              <c:layout>
                <c:manualLayout>
                  <c:x val="0.14898260022563276"/>
                  <c:y val="-0.103675648988840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290-4F06-8190-E9A986D07FC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290-4F06-8190-E9A986D07FCC}"/>
                </c:ext>
                <c:ext xmlns:c15="http://schemas.microsoft.com/office/drawing/2012/chart" uri="{CE6537A1-D6FC-4f65-9D91-7224C49458BB}"/>
              </c:extLst>
            </c:dLbl>
            <c:dLbl>
              <c:idx val="5"/>
              <c:layout>
                <c:manualLayout>
                  <c:x val="0.18815415255513604"/>
                  <c:y val="5.227699185234120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290-4F06-8190-E9A986D07FCC}"/>
                </c:ext>
                <c:ext xmlns:c15="http://schemas.microsoft.com/office/drawing/2012/chart" uri="{CE6537A1-D6FC-4f65-9D91-7224C49458BB}"/>
              </c:extLst>
            </c:dLbl>
            <c:dLbl>
              <c:idx val="6"/>
              <c:layout>
                <c:manualLayout>
                  <c:x val="0.14944711612963937"/>
                  <c:y val="0.150584672533349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290-4F06-8190-E9A986D07FCC}"/>
                </c:ext>
                <c:ext xmlns:c15="http://schemas.microsoft.com/office/drawing/2012/chart" uri="{CE6537A1-D6FC-4f65-9D91-7224C49458BB}"/>
              </c:extLst>
            </c:dLbl>
            <c:dLbl>
              <c:idx val="7"/>
              <c:layout>
                <c:manualLayout>
                  <c:x val="7.6383057955301643E-4"/>
                  <c:y val="0.225049907771849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290-4F06-8190-E9A986D07FCC}"/>
                </c:ext>
                <c:ext xmlns:c15="http://schemas.microsoft.com/office/drawing/2012/chart" uri="{CE6537A1-D6FC-4f65-9D91-7224C49458BB}"/>
              </c:extLst>
            </c:dLbl>
            <c:dLbl>
              <c:idx val="8"/>
              <c:layout>
                <c:manualLayout>
                  <c:x val="-9.2615239704328667E-2"/>
                  <c:y val="9.98528045636144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290-4F06-8190-E9A986D07FCC}"/>
                </c:ext>
                <c:ext xmlns:c15="http://schemas.microsoft.com/office/drawing/2012/chart" uri="{CE6537A1-D6FC-4f65-9D91-7224C49458BB}"/>
              </c:extLst>
            </c:dLbl>
            <c:dLbl>
              <c:idx val="9"/>
              <c:layout>
                <c:manualLayout>
                  <c:x val="-9.3972581524626314E-2"/>
                  <c:y val="-1.78111436125339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290-4F06-8190-E9A986D07FCC}"/>
                </c:ext>
                <c:ext xmlns:c15="http://schemas.microsoft.com/office/drawing/2012/chart" uri="{CE6537A1-D6FC-4f65-9D91-7224C49458BB}"/>
              </c:extLst>
            </c:dLbl>
            <c:dLbl>
              <c:idx val="10"/>
              <c:layout>
                <c:manualLayout>
                  <c:x val="-0.12344389304703764"/>
                  <c:y val="-2.40168803732456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290-4F06-8190-E9A986D07FCC}"/>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4290-4F06-8190-E9A986D07FCC}"/>
                </c:ext>
                <c:ext xmlns:c15="http://schemas.microsoft.com/office/drawing/2012/chart" uri="{CE6537A1-D6FC-4f65-9D91-7224C49458BB}"/>
              </c:extLst>
            </c:dLbl>
            <c:dLbl>
              <c:idx val="12"/>
              <c:layout>
                <c:manualLayout>
                  <c:x val="-0.11489636442613804"/>
                  <c:y val="-6.77336395134632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290-4F06-8190-E9A986D07FCC}"/>
                </c:ext>
                <c:ext xmlns:c15="http://schemas.microsoft.com/office/drawing/2012/chart" uri="{CE6537A1-D6FC-4f65-9D91-7224C49458BB}"/>
              </c:extLst>
            </c:dLbl>
            <c:dLbl>
              <c:idx val="13"/>
              <c:layout>
                <c:manualLayout>
                  <c:x val="4.7686855811173573E-2"/>
                  <c:y val="-9.96056508503815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4290-4F06-8190-E9A986D07FCC}"/>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4290-4F06-8190-E9A986D07FC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'UNTHSC Chts'!$D$53:$D$67</c:f>
              <c:numCache>
                <c:formatCode>"$"#,##0</c:formatCode>
                <c:ptCount val="15"/>
                <c:pt idx="0">
                  <c:v>102748866</c:v>
                </c:pt>
                <c:pt idx="1">
                  <c:v>3158527</c:v>
                </c:pt>
                <c:pt idx="3">
                  <c:v>17091856</c:v>
                </c:pt>
                <c:pt idx="4">
                  <c:v>0</c:v>
                </c:pt>
                <c:pt idx="5">
                  <c:v>29810882</c:v>
                </c:pt>
                <c:pt idx="6">
                  <c:v>37000670</c:v>
                </c:pt>
                <c:pt idx="7">
                  <c:v>8254807</c:v>
                </c:pt>
                <c:pt idx="8">
                  <c:v>799557</c:v>
                </c:pt>
                <c:pt idx="9">
                  <c:v>9005129</c:v>
                </c:pt>
                <c:pt idx="10">
                  <c:v>59689998</c:v>
                </c:pt>
                <c:pt idx="11">
                  <c:v>625243</c:v>
                </c:pt>
                <c:pt idx="12">
                  <c:v>564871</c:v>
                </c:pt>
                <c:pt idx="13">
                  <c:v>15378723</c:v>
                </c:pt>
                <c:pt idx="14">
                  <c:v>0</c:v>
                </c:pt>
              </c:numCache>
            </c:numRef>
          </c:val>
          <c:extLst xmlns:c16r2="http://schemas.microsoft.com/office/drawing/2015/06/chart">
            <c:ext xmlns:c16="http://schemas.microsoft.com/office/drawing/2014/chart" uri="{C3380CC4-5D6E-409C-BE32-E72D297353CC}">
              <c16:uniqueId val="{0000001D-4290-4F06-8190-E9A986D07FC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2"/>
          <c:y val="2.4423337856174714E-2"/>
        </c:manualLayout>
      </c:layout>
      <c:overlay val="0"/>
      <c:spPr>
        <a:noFill/>
        <a:ln w="25400">
          <a:noFill/>
        </a:ln>
      </c:spPr>
    </c:title>
    <c:autoTitleDeleted val="0"/>
    <c:plotArea>
      <c:layout>
        <c:manualLayout>
          <c:layoutTarget val="inner"/>
          <c:xMode val="edge"/>
          <c:yMode val="edge"/>
          <c:x val="0.39057168612545395"/>
          <c:y val="0.30480007272626397"/>
          <c:w val="0.21833372866620579"/>
          <c:h val="0.35015155201934178"/>
        </c:manualLayout>
      </c:layout>
      <c:pieChart>
        <c:varyColors val="1"/>
        <c:ser>
          <c:idx val="0"/>
          <c:order val="0"/>
          <c:tx>
            <c:strRef>
              <c:f>'UNTHSC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BFA-4E06-8D9E-A41C772F426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BFA-4E06-8D9E-A41C772F426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BFA-4E06-8D9E-A41C772F426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BFA-4E06-8D9E-A41C772F426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BFA-4E06-8D9E-A41C772F426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BFA-4E06-8D9E-A41C772F426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BFA-4E06-8D9E-A41C772F426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BFA-4E06-8D9E-A41C772F426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BFA-4E06-8D9E-A41C772F426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BFA-4E06-8D9E-A41C772F426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BFA-4E06-8D9E-A41C772F4268}"/>
              </c:ext>
            </c:extLst>
          </c:dPt>
          <c:dLbls>
            <c:dLbl>
              <c:idx val="0"/>
              <c:layout>
                <c:manualLayout>
                  <c:x val="-9.4062487740911346E-2"/>
                  <c:y val="2.24981702869511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0BFA-4E06-8D9E-A41C772F4268}"/>
                </c:ext>
                <c:ext xmlns:c15="http://schemas.microsoft.com/office/drawing/2012/chart" uri="{CE6537A1-D6FC-4f65-9D91-7224C49458BB}"/>
              </c:extLst>
            </c:dLbl>
            <c:dLbl>
              <c:idx val="1"/>
              <c:layout>
                <c:manualLayout>
                  <c:x val="-0.13333784658228987"/>
                  <c:y val="9.681480818767004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BFA-4E06-8D9E-A41C772F4268}"/>
                </c:ext>
                <c:ext xmlns:c15="http://schemas.microsoft.com/office/drawing/2012/chart" uri="{CE6537A1-D6FC-4f65-9D91-7224C49458BB}"/>
              </c:extLst>
            </c:dLbl>
            <c:dLbl>
              <c:idx val="2"/>
              <c:layout>
                <c:manualLayout>
                  <c:x val="-0.13387534215949631"/>
                  <c:y val="-8.392822305972755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BFA-4E06-8D9E-A41C772F4268}"/>
                </c:ext>
                <c:ext xmlns:c15="http://schemas.microsoft.com/office/drawing/2012/chart" uri="{CE6537A1-D6FC-4f65-9D91-7224C49458BB}"/>
              </c:extLst>
            </c:dLbl>
            <c:dLbl>
              <c:idx val="3"/>
              <c:layout>
                <c:manualLayout>
                  <c:x val="-1.8091082315177396E-4"/>
                  <c:y val="-0.185666947491895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BFA-4E06-8D9E-A41C772F4268}"/>
                </c:ext>
                <c:ext xmlns:c15="http://schemas.microsoft.com/office/drawing/2012/chart" uri="{CE6537A1-D6FC-4f65-9D91-7224C49458BB}"/>
              </c:extLst>
            </c:dLbl>
            <c:dLbl>
              <c:idx val="4"/>
              <c:layout>
                <c:manualLayout>
                  <c:x val="0.11963889818834006"/>
                  <c:y val="-0.18951711107880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BFA-4E06-8D9E-A41C772F4268}"/>
                </c:ext>
                <c:ext xmlns:c15="http://schemas.microsoft.com/office/drawing/2012/chart" uri="{CE6537A1-D6FC-4f65-9D91-7224C49458BB}"/>
              </c:extLst>
            </c:dLbl>
            <c:dLbl>
              <c:idx val="5"/>
              <c:layout>
                <c:manualLayout>
                  <c:x val="0.13816787991177637"/>
                  <c:y val="-0.128242381994381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BFA-4E06-8D9E-A41C772F4268}"/>
                </c:ext>
                <c:ext xmlns:c15="http://schemas.microsoft.com/office/drawing/2012/chart" uri="{CE6537A1-D6FC-4f65-9D91-7224C49458BB}"/>
              </c:extLst>
            </c:dLbl>
            <c:dLbl>
              <c:idx val="6"/>
              <c:layout>
                <c:manualLayout>
                  <c:x val="0.16945631155966839"/>
                  <c:y val="-8.64537862323567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BFA-4E06-8D9E-A41C772F4268}"/>
                </c:ext>
                <c:ext xmlns:c15="http://schemas.microsoft.com/office/drawing/2012/chart" uri="{CE6537A1-D6FC-4f65-9D91-7224C49458BB}"/>
              </c:extLst>
            </c:dLbl>
            <c:dLbl>
              <c:idx val="7"/>
              <c:layout>
                <c:manualLayout>
                  <c:x val="0.19249416229338548"/>
                  <c:y val="5.74823459095817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BFA-4E06-8D9E-A41C772F4268}"/>
                </c:ext>
                <c:ext xmlns:c15="http://schemas.microsoft.com/office/drawing/2012/chart" uri="{CE6537A1-D6FC-4f65-9D91-7224C49458BB}"/>
              </c:extLst>
            </c:dLbl>
            <c:dLbl>
              <c:idx val="8"/>
              <c:layout>
                <c:manualLayout>
                  <c:x val="5.1981678113560963E-2"/>
                  <c:y val="0.176950337425180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BFA-4E06-8D9E-A41C772F4268}"/>
                </c:ext>
                <c:ext xmlns:c15="http://schemas.microsoft.com/office/drawing/2012/chart" uri="{CE6537A1-D6FC-4f65-9D91-7224C49458BB}"/>
              </c:extLst>
            </c:dLbl>
            <c:dLbl>
              <c:idx val="9"/>
              <c:layout>
                <c:manualLayout>
                  <c:x val="-9.7001146022456561E-2"/>
                  <c:y val="0.167128909963206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BFA-4E06-8D9E-A41C772F4268}"/>
                </c:ext>
                <c:ext xmlns:c15="http://schemas.microsoft.com/office/drawing/2012/chart" uri="{CE6537A1-D6FC-4f65-9D91-7224C49458BB}"/>
              </c:extLst>
            </c:dLbl>
            <c:dLbl>
              <c:idx val="10"/>
              <c:layout>
                <c:manualLayout>
                  <c:x val="-0.24510045882793396"/>
                  <c:y val="0.13659833045673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BFA-4E06-8D9E-A41C772F426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0BFA-4E06-8D9E-A41C772F426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'UNTHSC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'UNTHSC Chts'!$D$102:$D$113</c:f>
              <c:numCache>
                <c:formatCode>"$"#,##0</c:formatCode>
                <c:ptCount val="12"/>
                <c:pt idx="0">
                  <c:v>70535325</c:v>
                </c:pt>
                <c:pt idx="1">
                  <c:v>36080019</c:v>
                </c:pt>
                <c:pt idx="2">
                  <c:v>45182938</c:v>
                </c:pt>
                <c:pt idx="3">
                  <c:v>19200650</c:v>
                </c:pt>
                <c:pt idx="4">
                  <c:v>5516917</c:v>
                </c:pt>
                <c:pt idx="5">
                  <c:v>17955894</c:v>
                </c:pt>
                <c:pt idx="6">
                  <c:v>13375730</c:v>
                </c:pt>
                <c:pt idx="7">
                  <c:v>546507</c:v>
                </c:pt>
                <c:pt idx="8">
                  <c:v>484952</c:v>
                </c:pt>
                <c:pt idx="9">
                  <c:v>5853999</c:v>
                </c:pt>
                <c:pt idx="10">
                  <c:v>102396</c:v>
                </c:pt>
                <c:pt idx="11">
                  <c:v>0</c:v>
                </c:pt>
              </c:numCache>
            </c:numRef>
          </c:val>
          <c:extLst xmlns:c16r2="http://schemas.microsoft.com/office/drawing/2015/06/chart">
            <c:ext xmlns:c16="http://schemas.microsoft.com/office/drawing/2014/chart" uri="{C3380CC4-5D6E-409C-BE32-E72D297353CC}">
              <c16:uniqueId val="{00000017-0BFA-4E06-8D9E-A41C772F4268}"/>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'TTUHSC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719-4E28-BAB6-33C71E83F8C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719-4E28-BAB6-33C71E83F8C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719-4E28-BAB6-33C71E83F8C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719-4E28-BAB6-33C71E83F8C0}"/>
              </c:ext>
            </c:extLst>
          </c:dPt>
          <c:dLbls>
            <c:dLbl>
              <c:idx val="0"/>
              <c:layout>
                <c:manualLayout>
                  <c:x val="8.4500821019342268E-2"/>
                  <c:y val="-6.02073930596095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4719-4E28-BAB6-33C71E83F8C0}"/>
                </c:ext>
                <c:ext xmlns:c15="http://schemas.microsoft.com/office/drawing/2012/chart" uri="{CE6537A1-D6FC-4f65-9D91-7224C49458BB}"/>
              </c:extLst>
            </c:dLbl>
            <c:dLbl>
              <c:idx val="1"/>
              <c:layout>
                <c:manualLayout>
                  <c:x val="0.11435018490580121"/>
                  <c:y val="-1.06794584023350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719-4E28-BAB6-33C71E83F8C0}"/>
                </c:ext>
                <c:ext xmlns:c15="http://schemas.microsoft.com/office/drawing/2012/chart" uri="{CE6537A1-D6FC-4f65-9D91-7224C49458BB}"/>
              </c:extLst>
            </c:dLbl>
            <c:dLbl>
              <c:idx val="2"/>
              <c:layout>
                <c:manualLayout>
                  <c:x val="6.9314366361944324E-2"/>
                  <c:y val="0.124663240436298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719-4E28-BAB6-33C71E83F8C0}"/>
                </c:ext>
                <c:ext xmlns:c15="http://schemas.microsoft.com/office/drawing/2012/chart" uri="{CE6537A1-D6FC-4f65-9D91-7224C49458BB}"/>
              </c:extLst>
            </c:dLbl>
            <c:dLbl>
              <c:idx val="3"/>
              <c:layout>
                <c:manualLayout>
                  <c:x val="-0.14617778097501707"/>
                  <c:y val="4.11166335156375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719-4E28-BAB6-33C71E83F8C0}"/>
                </c:ext>
                <c:ext xmlns:c15="http://schemas.microsoft.com/office/drawing/2012/chart" uri="{CE6537A1-D6FC-4f65-9D91-7224C49458BB}"/>
              </c:extLst>
            </c:dLbl>
            <c:dLbl>
              <c:idx val="4"/>
              <c:layout>
                <c:manualLayout>
                  <c:x val="-8.2805825916187764E-2"/>
                  <c:y val="-4.53728500226068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719-4E28-BAB6-33C71E83F8C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 Chts'!$C$11:$C$15</c:f>
              <c:strCache>
                <c:ptCount val="5"/>
                <c:pt idx="0">
                  <c:v>State of Texas</c:v>
                </c:pt>
                <c:pt idx="1">
                  <c:v>Student &amp; Parent</c:v>
                </c:pt>
                <c:pt idx="2">
                  <c:v>Federal Government</c:v>
                </c:pt>
                <c:pt idx="3">
                  <c:v>Institutional Resources</c:v>
                </c:pt>
                <c:pt idx="4">
                  <c:v>Hospitals, Clinics, Professional Fees</c:v>
                </c:pt>
              </c:strCache>
            </c:strRef>
          </c:cat>
          <c:val>
            <c:numRef>
              <c:f>'TTUHSC Chts'!$D$11:$D$15</c:f>
              <c:numCache>
                <c:formatCode>"$"#,##0</c:formatCode>
                <c:ptCount val="5"/>
                <c:pt idx="0">
                  <c:v>201620004</c:v>
                </c:pt>
                <c:pt idx="1">
                  <c:v>51990811</c:v>
                </c:pt>
                <c:pt idx="2">
                  <c:v>19599396</c:v>
                </c:pt>
                <c:pt idx="3">
                  <c:v>193974266</c:v>
                </c:pt>
                <c:pt idx="4">
                  <c:v>221537779</c:v>
                </c:pt>
              </c:numCache>
            </c:numRef>
          </c:val>
          <c:extLst xmlns:c16r2="http://schemas.microsoft.com/office/drawing/2015/06/chart">
            <c:ext xmlns:c16="http://schemas.microsoft.com/office/drawing/2014/chart" uri="{C3380CC4-5D6E-409C-BE32-E72D297353CC}">
              <c16:uniqueId val="{00000009-4719-4E28-BAB6-33C71E83F8C0}"/>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'TTUHSC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D51-4176-A328-63BF8B5F886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D51-4176-A328-63BF8B5F886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D51-4176-A328-63BF8B5F886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D51-4176-A328-63BF8B5F886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D51-4176-A328-63BF8B5F886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D51-4176-A328-63BF8B5F886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D51-4176-A328-63BF8B5F886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D51-4176-A328-63BF8B5F886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D51-4176-A328-63BF8B5F886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D51-4176-A328-63BF8B5F886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DD51-4176-A328-63BF8B5F886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DD51-4176-A328-63BF8B5F8862}"/>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DD51-4176-A328-63BF8B5F8862}"/>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DD51-4176-A328-63BF8B5F8862}"/>
              </c:ext>
            </c:extLst>
          </c:dPt>
          <c:dLbls>
            <c:dLbl>
              <c:idx val="0"/>
              <c:layout>
                <c:manualLayout>
                  <c:x val="-2.5998578871359992E-2"/>
                  <c:y val="-0.106333039703704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DD51-4176-A328-63BF8B5F8862}"/>
                </c:ext>
                <c:ext xmlns:c15="http://schemas.microsoft.com/office/drawing/2012/chart" uri="{CE6537A1-D6FC-4f65-9D91-7224C49458BB}"/>
              </c:extLst>
            </c:dLbl>
            <c:dLbl>
              <c:idx val="1"/>
              <c:layout>
                <c:manualLayout>
                  <c:x val="0.13226865264512946"/>
                  <c:y val="-0.15030596728225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D51-4176-A328-63BF8B5F886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DD51-4176-A328-63BF8B5F8862}"/>
                </c:ext>
                <c:ext xmlns:c15="http://schemas.microsoft.com/office/drawing/2012/chart" uri="{CE6537A1-D6FC-4f65-9D91-7224C49458BB}"/>
              </c:extLst>
            </c:dLbl>
            <c:dLbl>
              <c:idx val="3"/>
              <c:layout>
                <c:manualLayout>
                  <c:x val="0.15672497426490903"/>
                  <c:y val="-1.04310886617745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D51-4176-A328-63BF8B5F886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DD51-4176-A328-63BF8B5F8862}"/>
                </c:ext>
                <c:ext xmlns:c15="http://schemas.microsoft.com/office/drawing/2012/chart" uri="{CE6537A1-D6FC-4f65-9D91-7224C49458BB}"/>
              </c:extLst>
            </c:dLbl>
            <c:dLbl>
              <c:idx val="5"/>
              <c:layout>
                <c:manualLayout>
                  <c:x val="0.18283814194017517"/>
                  <c:y val="7.17935712088910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D51-4176-A328-63BF8B5F8862}"/>
                </c:ext>
                <c:ext xmlns:c15="http://schemas.microsoft.com/office/drawing/2012/chart" uri="{CE6537A1-D6FC-4f65-9D91-7224C49458BB}"/>
              </c:extLst>
            </c:dLbl>
            <c:dLbl>
              <c:idx val="6"/>
              <c:layout>
                <c:manualLayout>
                  <c:x val="0.15731128223923774"/>
                  <c:y val="0.120925926454567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D51-4176-A328-63BF8B5F8862}"/>
                </c:ext>
                <c:ext xmlns:c15="http://schemas.microsoft.com/office/drawing/2012/chart" uri="{CE6537A1-D6FC-4f65-9D91-7224C49458BB}"/>
              </c:extLst>
            </c:dLbl>
            <c:dLbl>
              <c:idx val="7"/>
              <c:layout>
                <c:manualLayout>
                  <c:x val="-1.7298454738228084E-2"/>
                  <c:y val="0.178316070385170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D51-4176-A328-63BF8B5F8862}"/>
                </c:ext>
                <c:ext xmlns:c15="http://schemas.microsoft.com/office/drawing/2012/chart" uri="{CE6537A1-D6FC-4f65-9D91-7224C49458BB}"/>
              </c:extLst>
            </c:dLbl>
            <c:dLbl>
              <c:idx val="8"/>
              <c:layout>
                <c:manualLayout>
                  <c:x val="-0.16285192103059032"/>
                  <c:y val="0.156186873448434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D51-4176-A328-63BF8B5F8862}"/>
                </c:ext>
                <c:ext xmlns:c15="http://schemas.microsoft.com/office/drawing/2012/chart" uri="{CE6537A1-D6FC-4f65-9D91-7224C49458BB}"/>
              </c:extLst>
            </c:dLbl>
            <c:dLbl>
              <c:idx val="9"/>
              <c:layout>
                <c:manualLayout>
                  <c:x val="-0.10843835174478754"/>
                  <c:y val="8.1884353998038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D51-4176-A328-63BF8B5F8862}"/>
                </c:ext>
                <c:ext xmlns:c15="http://schemas.microsoft.com/office/drawing/2012/chart" uri="{CE6537A1-D6FC-4f65-9D91-7224C49458BB}"/>
              </c:extLst>
            </c:dLbl>
            <c:dLbl>
              <c:idx val="10"/>
              <c:layout>
                <c:manualLayout>
                  <c:x val="-9.4697457597640533E-2"/>
                  <c:y val="1.68766171102186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D51-4176-A328-63BF8B5F8862}"/>
                </c:ext>
                <c:ext xmlns:c15="http://schemas.microsoft.com/office/drawing/2012/chart" uri="{CE6537A1-D6FC-4f65-9D91-7224C49458BB}"/>
              </c:extLst>
            </c:dLbl>
            <c:dLbl>
              <c:idx val="11"/>
              <c:layout>
                <c:manualLayout>
                  <c:x val="-0.12313690120596897"/>
                  <c:y val="-0.121394091178235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DD51-4176-A328-63BF8B5F8862}"/>
                </c:ext>
                <c:ext xmlns:c15="http://schemas.microsoft.com/office/drawing/2012/chart" uri="{CE6537A1-D6FC-4f65-9D91-7224C49458BB}"/>
              </c:extLst>
            </c:dLbl>
            <c:dLbl>
              <c:idx val="12"/>
              <c:layout>
                <c:manualLayout>
                  <c:x val="-8.2888839666568334E-2"/>
                  <c:y val="-0.236444971037941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DD51-4176-A328-63BF8B5F8862}"/>
                </c:ext>
                <c:ext xmlns:c15="http://schemas.microsoft.com/office/drawing/2012/chart" uri="{CE6537A1-D6FC-4f65-9D91-7224C49458BB}"/>
              </c:extLst>
            </c:dLbl>
            <c:dLbl>
              <c:idx val="13"/>
              <c:layout>
                <c:manualLayout>
                  <c:x val="4.7489713782947952E-2"/>
                  <c:y val="-0.161621550722026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DD51-4176-A328-63BF8B5F8862}"/>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DD51-4176-A328-63BF8B5F886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'TTUHSC Chts'!$D$53:$D$67</c:f>
              <c:numCache>
                <c:formatCode>"$"#,##0</c:formatCode>
                <c:ptCount val="15"/>
                <c:pt idx="0">
                  <c:v>166507267</c:v>
                </c:pt>
                <c:pt idx="1">
                  <c:v>11740341</c:v>
                </c:pt>
                <c:pt idx="3">
                  <c:v>23372396</c:v>
                </c:pt>
                <c:pt idx="4">
                  <c:v>0</c:v>
                </c:pt>
                <c:pt idx="5">
                  <c:v>51990811</c:v>
                </c:pt>
                <c:pt idx="6">
                  <c:v>19599396</c:v>
                </c:pt>
                <c:pt idx="7">
                  <c:v>12689174</c:v>
                </c:pt>
                <c:pt idx="8">
                  <c:v>58927560</c:v>
                </c:pt>
                <c:pt idx="9">
                  <c:v>87600256</c:v>
                </c:pt>
                <c:pt idx="10">
                  <c:v>11084298</c:v>
                </c:pt>
                <c:pt idx="11">
                  <c:v>828063</c:v>
                </c:pt>
                <c:pt idx="12">
                  <c:v>22844915</c:v>
                </c:pt>
                <c:pt idx="13">
                  <c:v>221537779</c:v>
                </c:pt>
                <c:pt idx="14">
                  <c:v>0</c:v>
                </c:pt>
              </c:numCache>
            </c:numRef>
          </c:val>
          <c:extLst xmlns:c16r2="http://schemas.microsoft.com/office/drawing/2015/06/chart">
            <c:ext xmlns:c16="http://schemas.microsoft.com/office/drawing/2014/chart" uri="{C3380CC4-5D6E-409C-BE32-E72D297353CC}">
              <c16:uniqueId val="{0000001D-DD51-4176-A328-63BF8B5F8862}"/>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2"/>
          <c:y val="2.4423337856174714E-2"/>
        </c:manualLayout>
      </c:layout>
      <c:overlay val="0"/>
      <c:spPr>
        <a:noFill/>
        <a:ln w="25400">
          <a:noFill/>
        </a:ln>
      </c:spPr>
    </c:title>
    <c:autoTitleDeleted val="0"/>
    <c:plotArea>
      <c:layout>
        <c:manualLayout>
          <c:layoutTarget val="inner"/>
          <c:xMode val="edge"/>
          <c:yMode val="edge"/>
          <c:x val="0.40049545829892624"/>
          <c:y val="0.35685210312077076"/>
          <c:w val="0.20891824938068196"/>
          <c:h val="0.34328358208955911"/>
        </c:manualLayout>
      </c:layout>
      <c:pieChart>
        <c:varyColors val="1"/>
        <c:ser>
          <c:idx val="0"/>
          <c:order val="0"/>
          <c:tx>
            <c:strRef>
              <c:f>'Smmy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933-49E7-A7BB-DED61D8E199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933-49E7-A7BB-DED61D8E199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933-49E7-A7BB-DED61D8E199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933-49E7-A7BB-DED61D8E199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933-49E7-A7BB-DED61D8E199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933-49E7-A7BB-DED61D8E199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933-49E7-A7BB-DED61D8E199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933-49E7-A7BB-DED61D8E199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933-49E7-A7BB-DED61D8E199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933-49E7-A7BB-DED61D8E199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5933-49E7-A7BB-DED61D8E1993}"/>
              </c:ext>
            </c:extLst>
          </c:dPt>
          <c:dLbls>
            <c:dLbl>
              <c:idx val="0"/>
              <c:layout>
                <c:manualLayout>
                  <c:x val="6.1175256514477805E-2"/>
                  <c:y val="0.138228297242321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5933-49E7-A7BB-DED61D8E1993}"/>
                </c:ext>
                <c:ext xmlns:c15="http://schemas.microsoft.com/office/drawing/2012/chart" uri="{CE6537A1-D6FC-4f65-9D91-7224C49458BB}"/>
              </c:extLst>
            </c:dLbl>
            <c:dLbl>
              <c:idx val="1"/>
              <c:layout>
                <c:manualLayout>
                  <c:x val="-0.11200226258389319"/>
                  <c:y val="0.2561980364600612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933-49E7-A7BB-DED61D8E1993}"/>
                </c:ext>
                <c:ext xmlns:c15="http://schemas.microsoft.com/office/drawing/2012/chart" uri="{CE6537A1-D6FC-4f65-9D91-7224C49458BB}"/>
              </c:extLst>
            </c:dLbl>
            <c:dLbl>
              <c:idx val="2"/>
              <c:layout>
                <c:manualLayout>
                  <c:x val="-0.15164496540489183"/>
                  <c:y val="0.248443656642697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933-49E7-A7BB-DED61D8E1993}"/>
                </c:ext>
                <c:ext xmlns:c15="http://schemas.microsoft.com/office/drawing/2012/chart" uri="{CE6537A1-D6FC-4f65-9D91-7224C49458BB}"/>
              </c:extLst>
            </c:dLbl>
            <c:dLbl>
              <c:idx val="3"/>
              <c:layout>
                <c:manualLayout>
                  <c:x val="-0.15274128359743255"/>
                  <c:y val="0.168662731385698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933-49E7-A7BB-DED61D8E1993}"/>
                </c:ext>
                <c:ext xmlns:c15="http://schemas.microsoft.com/office/drawing/2012/chart" uri="{CE6537A1-D6FC-4f65-9D91-7224C49458BB}"/>
              </c:extLst>
            </c:dLbl>
            <c:dLbl>
              <c:idx val="4"/>
              <c:layout>
                <c:manualLayout>
                  <c:x val="-0.16742438394774825"/>
                  <c:y val="5.24406943093128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933-49E7-A7BB-DED61D8E1993}"/>
                </c:ext>
                <c:ext xmlns:c15="http://schemas.microsoft.com/office/drawing/2012/chart" uri="{CE6537A1-D6FC-4f65-9D91-7224C49458BB}"/>
              </c:extLst>
            </c:dLbl>
            <c:dLbl>
              <c:idx val="5"/>
              <c:layout>
                <c:manualLayout>
                  <c:x val="-0.1717233123007432"/>
                  <c:y val="-5.72892785649581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933-49E7-A7BB-DED61D8E1993}"/>
                </c:ext>
                <c:ext xmlns:c15="http://schemas.microsoft.com/office/drawing/2012/chart" uri="{CE6537A1-D6FC-4f65-9D91-7224C49458BB}"/>
              </c:extLst>
            </c:dLbl>
            <c:dLbl>
              <c:idx val="6"/>
              <c:layout>
                <c:manualLayout>
                  <c:x val="-9.4968053987344425E-2"/>
                  <c:y val="-0.118085610689251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933-49E7-A7BB-DED61D8E1993}"/>
                </c:ext>
                <c:ext xmlns:c15="http://schemas.microsoft.com/office/drawing/2012/chart" uri="{CE6537A1-D6FC-4f65-9D91-7224C49458BB}"/>
              </c:extLst>
            </c:dLbl>
            <c:dLbl>
              <c:idx val="7"/>
              <c:layout>
                <c:manualLayout>
                  <c:x val="1.7992148250046986E-2"/>
                  <c:y val="-0.11464534631590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933-49E7-A7BB-DED61D8E1993}"/>
                </c:ext>
                <c:ext xmlns:c15="http://schemas.microsoft.com/office/drawing/2012/chart" uri="{CE6537A1-D6FC-4f65-9D91-7224C49458BB}"/>
              </c:extLst>
            </c:dLbl>
            <c:dLbl>
              <c:idx val="8"/>
              <c:layout>
                <c:manualLayout>
                  <c:x val="0.21340975240762064"/>
                  <c:y val="-0.130142301350322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933-49E7-A7BB-DED61D8E1993}"/>
                </c:ext>
                <c:ext xmlns:c15="http://schemas.microsoft.com/office/drawing/2012/chart" uri="{CE6537A1-D6FC-4f65-9D91-7224C49458BB}"/>
              </c:extLst>
            </c:dLbl>
            <c:dLbl>
              <c:idx val="9"/>
              <c:layout>
                <c:manualLayout>
                  <c:x val="0.25645277609622569"/>
                  <c:y val="-2.25234880481528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933-49E7-A7BB-DED61D8E1993}"/>
                </c:ext>
                <c:ext xmlns:c15="http://schemas.microsoft.com/office/drawing/2012/chart" uri="{CE6537A1-D6FC-4f65-9D91-7224C49458BB}"/>
              </c:extLst>
            </c:dLbl>
            <c:dLbl>
              <c:idx val="10"/>
              <c:layout>
                <c:manualLayout>
                  <c:x val="0.29833342005686969"/>
                  <c:y val="8.51711232139329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933-49E7-A7BB-DED61D8E1993}"/>
                </c:ext>
                <c:ext xmlns:c15="http://schemas.microsoft.com/office/drawing/2012/chart" uri="{CE6537A1-D6FC-4f65-9D91-7224C49458BB}"/>
              </c:extLst>
            </c:dLbl>
            <c:dLbl>
              <c:idx val="11"/>
              <c:layout>
                <c:manualLayout>
                  <c:x val="6.5228799910224636E-2"/>
                  <c:y val="0.140930929419673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5933-49E7-A7BB-DED61D8E199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'Smmy Chts'!$D$102:$D$113</c:f>
              <c:numCache>
                <c:formatCode>"$"#,##0</c:formatCode>
                <c:ptCount val="12"/>
                <c:pt idx="0">
                  <c:v>2999569033</c:v>
                </c:pt>
                <c:pt idx="1">
                  <c:v>1751366403</c:v>
                </c:pt>
                <c:pt idx="2">
                  <c:v>323289387</c:v>
                </c:pt>
                <c:pt idx="3">
                  <c:v>567907925</c:v>
                </c:pt>
                <c:pt idx="4">
                  <c:v>53599888</c:v>
                </c:pt>
                <c:pt idx="5">
                  <c:v>532579502</c:v>
                </c:pt>
                <c:pt idx="6">
                  <c:v>533150845</c:v>
                </c:pt>
                <c:pt idx="7">
                  <c:v>38750602</c:v>
                </c:pt>
                <c:pt idx="8">
                  <c:v>88055035</c:v>
                </c:pt>
                <c:pt idx="9">
                  <c:v>175715057</c:v>
                </c:pt>
                <c:pt idx="10">
                  <c:v>26049887</c:v>
                </c:pt>
                <c:pt idx="11">
                  <c:v>6076121613</c:v>
                </c:pt>
              </c:numCache>
            </c:numRef>
          </c:val>
          <c:extLst xmlns:c16r2="http://schemas.microsoft.com/office/drawing/2015/06/chart">
            <c:ext xmlns:c16="http://schemas.microsoft.com/office/drawing/2014/chart" uri="{C3380CC4-5D6E-409C-BE32-E72D297353CC}">
              <c16:uniqueId val="{00000017-5933-49E7-A7BB-DED61D8E1993}"/>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'TTUHSC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6DCA-49EF-9BF8-BA753091BE0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6DCA-49EF-9BF8-BA753091BE0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6DCA-49EF-9BF8-BA753091BE0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6DCA-49EF-9BF8-BA753091BE0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6DCA-49EF-9BF8-BA753091BE0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6DCA-49EF-9BF8-BA753091BE0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6DCA-49EF-9BF8-BA753091BE0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6DCA-49EF-9BF8-BA753091BE0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6DCA-49EF-9BF8-BA753091BE0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6DCA-49EF-9BF8-BA753091BE0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6DCA-49EF-9BF8-BA753091BE02}"/>
              </c:ext>
            </c:extLst>
          </c:dPt>
          <c:dLbls>
            <c:dLbl>
              <c:idx val="0"/>
              <c:layout>
                <c:manualLayout>
                  <c:x val="-0.13608708442743056"/>
                  <c:y val="9.9053244313188245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6DCA-49EF-9BF8-BA753091BE02}"/>
                </c:ext>
                <c:ext xmlns:c15="http://schemas.microsoft.com/office/drawing/2012/chart" uri="{CE6537A1-D6FC-4f65-9D91-7224C49458BB}"/>
              </c:extLst>
            </c:dLbl>
            <c:dLbl>
              <c:idx val="1"/>
              <c:layout>
                <c:manualLayout>
                  <c:x val="-0.11559975566858145"/>
                  <c:y val="-5.52192557607331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6DCA-49EF-9BF8-BA753091BE02}"/>
                </c:ext>
                <c:ext xmlns:c15="http://schemas.microsoft.com/office/drawing/2012/chart" uri="{CE6537A1-D6FC-4f65-9D91-7224C49458BB}"/>
              </c:extLst>
            </c:dLbl>
            <c:dLbl>
              <c:idx val="2"/>
              <c:layout>
                <c:manualLayout>
                  <c:x val="-1.2415727179408293E-2"/>
                  <c:y val="-9.1486337361161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6DCA-49EF-9BF8-BA753091BE02}"/>
                </c:ext>
                <c:ext xmlns:c15="http://schemas.microsoft.com/office/drawing/2012/chart" uri="{CE6537A1-D6FC-4f65-9D91-7224C49458BB}"/>
              </c:extLst>
            </c:dLbl>
            <c:dLbl>
              <c:idx val="3"/>
              <c:layout>
                <c:manualLayout>
                  <c:x val="-8.9926157594528364E-2"/>
                  <c:y val="-0.1923245333937461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6DCA-49EF-9BF8-BA753091BE02}"/>
                </c:ext>
                <c:ext xmlns:c15="http://schemas.microsoft.com/office/drawing/2012/chart" uri="{CE6537A1-D6FC-4f65-9D91-7224C49458BB}"/>
              </c:extLst>
            </c:dLbl>
            <c:dLbl>
              <c:idx val="4"/>
              <c:layout>
                <c:manualLayout>
                  <c:x val="6.5222861763707549E-2"/>
                  <c:y val="-0.2939547146662241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6DCA-49EF-9BF8-BA753091BE02}"/>
                </c:ext>
                <c:ext xmlns:c15="http://schemas.microsoft.com/office/drawing/2012/chart" uri="{CE6537A1-D6FC-4f65-9D91-7224C49458BB}"/>
              </c:extLst>
            </c:dLbl>
            <c:dLbl>
              <c:idx val="5"/>
              <c:layout>
                <c:manualLayout>
                  <c:x val="0.15370890545028842"/>
                  <c:y val="-0.192327227248496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6DCA-49EF-9BF8-BA753091BE02}"/>
                </c:ext>
                <c:ext xmlns:c15="http://schemas.microsoft.com/office/drawing/2012/chart" uri="{CE6537A1-D6FC-4f65-9D91-7224C49458BB}"/>
              </c:extLst>
            </c:dLbl>
            <c:dLbl>
              <c:idx val="6"/>
              <c:layout>
                <c:manualLayout>
                  <c:x val="0.16991509173383804"/>
                  <c:y val="-0.104823452882869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6DCA-49EF-9BF8-BA753091BE02}"/>
                </c:ext>
                <c:ext xmlns:c15="http://schemas.microsoft.com/office/drawing/2012/chart" uri="{CE6537A1-D6FC-4f65-9D91-7224C49458BB}"/>
              </c:extLst>
            </c:dLbl>
            <c:dLbl>
              <c:idx val="7"/>
              <c:layout>
                <c:manualLayout>
                  <c:x val="0.19330718945311776"/>
                  <c:y val="1.78744947320417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6DCA-49EF-9BF8-BA753091BE02}"/>
                </c:ext>
                <c:ext xmlns:c15="http://schemas.microsoft.com/office/drawing/2012/chart" uri="{CE6537A1-D6FC-4f65-9D91-7224C49458BB}"/>
              </c:extLst>
            </c:dLbl>
            <c:dLbl>
              <c:idx val="8"/>
              <c:layout>
                <c:manualLayout>
                  <c:x val="0.15377458355873999"/>
                  <c:y val="0.163946227667243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6DCA-49EF-9BF8-BA753091BE02}"/>
                </c:ext>
                <c:ext xmlns:c15="http://schemas.microsoft.com/office/drawing/2012/chart" uri="{CE6537A1-D6FC-4f65-9D91-7224C49458BB}"/>
              </c:extLst>
            </c:dLbl>
            <c:dLbl>
              <c:idx val="9"/>
              <c:layout>
                <c:manualLayout>
                  <c:x val="4.2141253218635023E-2"/>
                  <c:y val="0.222172603370622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6DCA-49EF-9BF8-BA753091BE02}"/>
                </c:ext>
                <c:ext xmlns:c15="http://schemas.microsoft.com/office/drawing/2012/chart" uri="{CE6537A1-D6FC-4f65-9D91-7224C49458BB}"/>
              </c:extLst>
            </c:dLbl>
            <c:dLbl>
              <c:idx val="10"/>
              <c:layout>
                <c:manualLayout>
                  <c:x val="-0.13304716033433439"/>
                  <c:y val="0.2178720784570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6DCA-49EF-9BF8-BA753091BE02}"/>
                </c:ext>
                <c:ext xmlns:c15="http://schemas.microsoft.com/office/drawing/2012/chart" uri="{CE6537A1-D6FC-4f65-9D91-7224C49458BB}"/>
              </c:extLst>
            </c:dLbl>
            <c:dLbl>
              <c:idx val="11"/>
              <c:layout>
                <c:manualLayout>
                  <c:x val="-0.30472433558677947"/>
                  <c:y val="0.129464026280795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6DCA-49EF-9BF8-BA753091BE0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'TTUHSC Chts'!$D$102:$D$113</c:f>
              <c:numCache>
                <c:formatCode>"$"#,##0</c:formatCode>
                <c:ptCount val="12"/>
                <c:pt idx="0">
                  <c:v>202142878</c:v>
                </c:pt>
                <c:pt idx="1">
                  <c:v>33937168</c:v>
                </c:pt>
                <c:pt idx="2">
                  <c:v>132045671</c:v>
                </c:pt>
                <c:pt idx="3">
                  <c:v>118813442</c:v>
                </c:pt>
                <c:pt idx="4">
                  <c:v>15181835</c:v>
                </c:pt>
                <c:pt idx="5">
                  <c:v>29372793</c:v>
                </c:pt>
                <c:pt idx="6">
                  <c:v>27095077</c:v>
                </c:pt>
                <c:pt idx="7">
                  <c:v>3308985</c:v>
                </c:pt>
                <c:pt idx="8">
                  <c:v>456145</c:v>
                </c:pt>
                <c:pt idx="9">
                  <c:v>4050982</c:v>
                </c:pt>
                <c:pt idx="10">
                  <c:v>488877</c:v>
                </c:pt>
                <c:pt idx="11">
                  <c:v>78308297</c:v>
                </c:pt>
              </c:numCache>
            </c:numRef>
          </c:val>
          <c:extLst xmlns:c16r2="http://schemas.microsoft.com/office/drawing/2015/06/chart">
            <c:ext xmlns:c16="http://schemas.microsoft.com/office/drawing/2014/chart" uri="{C3380CC4-5D6E-409C-BE32-E72D297353CC}">
              <c16:uniqueId val="{00000017-6DCA-49EF-9BF8-BA753091BE02}"/>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'TTUHSCEP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6C1-4715-884A-0DEAA7C68EB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6C1-4715-884A-0DEAA7C68EB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6C1-4715-884A-0DEAA7C68EB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6C1-4715-884A-0DEAA7C68EBE}"/>
              </c:ext>
            </c:extLst>
          </c:dPt>
          <c:dLbls>
            <c:dLbl>
              <c:idx val="0"/>
              <c:layout>
                <c:manualLayout>
                  <c:x val="8.4500821019342268E-2"/>
                  <c:y val="-6.02073930596095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06C1-4715-884A-0DEAA7C68EBE}"/>
                </c:ext>
                <c:ext xmlns:c15="http://schemas.microsoft.com/office/drawing/2012/chart" uri="{CE6537A1-D6FC-4f65-9D91-7224C49458BB}"/>
              </c:extLst>
            </c:dLbl>
            <c:dLbl>
              <c:idx val="1"/>
              <c:layout>
                <c:manualLayout>
                  <c:x val="9.268348117563753E-2"/>
                  <c:y val="-1.45129515403343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6C1-4715-884A-0DEAA7C68EBE}"/>
                </c:ext>
                <c:ext xmlns:c15="http://schemas.microsoft.com/office/drawing/2012/chart" uri="{CE6537A1-D6FC-4f65-9D91-7224C49458BB}"/>
              </c:extLst>
            </c:dLbl>
            <c:dLbl>
              <c:idx val="2"/>
              <c:layout>
                <c:manualLayout>
                  <c:x val="-3.6611549357207993E-2"/>
                  <c:y val="0.14383094288227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6C1-4715-884A-0DEAA7C68EBE}"/>
                </c:ext>
                <c:ext xmlns:c15="http://schemas.microsoft.com/office/drawing/2012/chart" uri="{CE6537A1-D6FC-4f65-9D91-7224C49458BB}"/>
              </c:extLst>
            </c:dLbl>
            <c:dLbl>
              <c:idx val="3"/>
              <c:layout>
                <c:manualLayout>
                  <c:x val="-4.9881482572502536E-2"/>
                  <c:y val="5.83675446218284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6C1-4715-884A-0DEAA7C68EBE}"/>
                </c:ext>
                <c:ext xmlns:c15="http://schemas.microsoft.com/office/drawing/2012/chart" uri="{CE6537A1-D6FC-4f65-9D91-7224C49458BB}"/>
              </c:extLst>
            </c:dLbl>
            <c:dLbl>
              <c:idx val="4"/>
              <c:layout>
                <c:manualLayout>
                  <c:x val="2.6571522890890703E-3"/>
                  <c:y val="-4.72896826420970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6C1-4715-884A-0DEAA7C68EB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'TTUHSCEP Chts'!$C$11:$C$15</c:f>
              <c:strCache>
                <c:ptCount val="5"/>
                <c:pt idx="0">
                  <c:v>State of Texas</c:v>
                </c:pt>
                <c:pt idx="1">
                  <c:v>Student &amp; Parent</c:v>
                </c:pt>
                <c:pt idx="2">
                  <c:v>Federal Government</c:v>
                </c:pt>
                <c:pt idx="3">
                  <c:v>Institutional Resources</c:v>
                </c:pt>
                <c:pt idx="4">
                  <c:v>Hospitals, Clinics, Professional Fees</c:v>
                </c:pt>
              </c:strCache>
            </c:strRef>
          </c:cat>
          <c:val>
            <c:numRef>
              <c:f>'TTUHSCEP Chts'!$D$11:$D$15</c:f>
              <c:numCache>
                <c:formatCode>"$"#,##0</c:formatCode>
                <c:ptCount val="5"/>
                <c:pt idx="0">
                  <c:v>88008374</c:v>
                </c:pt>
                <c:pt idx="1">
                  <c:v>8991570</c:v>
                </c:pt>
                <c:pt idx="2">
                  <c:v>3784539</c:v>
                </c:pt>
                <c:pt idx="3">
                  <c:v>104221173</c:v>
                </c:pt>
                <c:pt idx="4">
                  <c:v>51823292</c:v>
                </c:pt>
              </c:numCache>
            </c:numRef>
          </c:val>
          <c:extLst xmlns:c16r2="http://schemas.microsoft.com/office/drawing/2015/06/chart">
            <c:ext xmlns:c16="http://schemas.microsoft.com/office/drawing/2014/chart" uri="{C3380CC4-5D6E-409C-BE32-E72D297353CC}">
              <c16:uniqueId val="{00000009-06C1-4715-884A-0DEAA7C68EBE}"/>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'TTUHSCEP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D33-4757-92AD-F0536725FDB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D33-4757-92AD-F0536725FDB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D33-4757-92AD-F0536725FDB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D33-4757-92AD-F0536725FDB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D33-4757-92AD-F0536725FDB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D33-4757-92AD-F0536725FDB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D33-4757-92AD-F0536725FDB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D33-4757-92AD-F0536725FDB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D33-4757-92AD-F0536725FDB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D33-4757-92AD-F0536725FDBA}"/>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D33-4757-92AD-F0536725FDBA}"/>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D33-4757-92AD-F0536725FDBA}"/>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9D33-4757-92AD-F0536725FDBA}"/>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9D33-4757-92AD-F0536725FDBA}"/>
              </c:ext>
            </c:extLst>
          </c:dPt>
          <c:dLbls>
            <c:dLbl>
              <c:idx val="0"/>
              <c:layout>
                <c:manualLayout>
                  <c:x val="8.9087345197303557E-3"/>
                  <c:y val="-0.119689857397566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9D33-4757-92AD-F0536725FDBA}"/>
                </c:ext>
                <c:ext xmlns:c15="http://schemas.microsoft.com/office/drawing/2012/chart" uri="{CE6537A1-D6FC-4f65-9D91-7224C49458BB}"/>
              </c:extLst>
            </c:dLbl>
            <c:dLbl>
              <c:idx val="1"/>
              <c:layout>
                <c:manualLayout>
                  <c:x val="0.15032420859560094"/>
                  <c:y val="-0.207549471684523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D33-4757-92AD-F0536725FDB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D33-4757-92AD-F0536725FDBA}"/>
                </c:ext>
                <c:ext xmlns:c15="http://schemas.microsoft.com/office/drawing/2012/chart" uri="{CE6537A1-D6FC-4f65-9D91-7224C49458BB}"/>
              </c:extLst>
            </c:dLbl>
            <c:dLbl>
              <c:idx val="3"/>
              <c:layout>
                <c:manualLayout>
                  <c:x val="0.18079904886553758"/>
                  <c:y val="-8.103141075790248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D33-4757-92AD-F0536725FDB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D33-4757-92AD-F0536725FDBA}"/>
                </c:ext>
                <c:ext xmlns:c15="http://schemas.microsoft.com/office/drawing/2012/chart" uri="{CE6537A1-D6FC-4f65-9D91-7224C49458BB}"/>
              </c:extLst>
            </c:dLbl>
            <c:dLbl>
              <c:idx val="5"/>
              <c:layout>
                <c:manualLayout>
                  <c:x val="0.18644934791009071"/>
                  <c:y val="2.40906508736695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D33-4757-92AD-F0536725FDBA}"/>
                </c:ext>
                <c:ext xmlns:c15="http://schemas.microsoft.com/office/drawing/2012/chart" uri="{CE6537A1-D6FC-4f65-9D91-7224C49458BB}"/>
              </c:extLst>
            </c:dLbl>
            <c:dLbl>
              <c:idx val="6"/>
              <c:layout>
                <c:manualLayout>
                  <c:x val="0.12962600166869354"/>
                  <c:y val="0.140007094588655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D33-4757-92AD-F0536725FDBA}"/>
                </c:ext>
                <c:ext xmlns:c15="http://schemas.microsoft.com/office/drawing/2012/chart" uri="{CE6537A1-D6FC-4f65-9D91-7224C49458BB}"/>
              </c:extLst>
            </c:dLbl>
            <c:dLbl>
              <c:idx val="7"/>
              <c:layout>
                <c:manualLayout>
                  <c:x val="-6.4242805429632663E-2"/>
                  <c:y val="0.172591719944944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D33-4757-92AD-F0536725FDBA}"/>
                </c:ext>
                <c:ext xmlns:c15="http://schemas.microsoft.com/office/drawing/2012/chart" uri="{CE6537A1-D6FC-4f65-9D91-7224C49458BB}"/>
              </c:extLst>
            </c:dLbl>
            <c:dLbl>
              <c:idx val="8"/>
              <c:layout>
                <c:manualLayout>
                  <c:x val="-0.23507414483247618"/>
                  <c:y val="0.156186873448434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D33-4757-92AD-F0536725FDBA}"/>
                </c:ext>
                <c:ext xmlns:c15="http://schemas.microsoft.com/office/drawing/2012/chart" uri="{CE6537A1-D6FC-4f65-9D91-7224C49458BB}"/>
              </c:extLst>
            </c:dLbl>
            <c:dLbl>
              <c:idx val="9"/>
              <c:layout>
                <c:manualLayout>
                  <c:x val="-0.11445668083530215"/>
                  <c:y val="7.8068270616638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D33-4757-92AD-F0536725FDBA}"/>
                </c:ext>
                <c:ext xmlns:c15="http://schemas.microsoft.com/office/drawing/2012/chart" uri="{CE6537A1-D6FC-4f65-9D91-7224C49458BB}"/>
              </c:extLst>
            </c:dLbl>
            <c:dLbl>
              <c:idx val="10"/>
              <c:layout>
                <c:manualLayout>
                  <c:x val="-0.10673449489795483"/>
                  <c:y val="0.100833756900208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D33-4757-92AD-F0536725FDBA}"/>
                </c:ext>
                <c:ext xmlns:c15="http://schemas.microsoft.com/office/drawing/2012/chart" uri="{CE6537A1-D6FC-4f65-9D91-7224C49458BB}"/>
              </c:extLst>
            </c:dLbl>
            <c:dLbl>
              <c:idx val="11"/>
              <c:layout>
                <c:manualLayout>
                  <c:x val="-0.12795171612609468"/>
                  <c:y val="-8.8956105350284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D33-4757-92AD-F0536725FDBA}"/>
                </c:ext>
                <c:ext xmlns:c15="http://schemas.microsoft.com/office/drawing/2012/chart" uri="{CE6537A1-D6FC-4f65-9D91-7224C49458BB}"/>
              </c:extLst>
            </c:dLbl>
            <c:dLbl>
              <c:idx val="12"/>
              <c:layout>
                <c:manualLayout>
                  <c:x val="-6.2425876256034039E-2"/>
                  <c:y val="-0.205914951777981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9D33-4757-92AD-F0536725FDBA}"/>
                </c:ext>
                <c:ext xmlns:c15="http://schemas.microsoft.com/office/drawing/2012/chart" uri="{CE6537A1-D6FC-4f65-9D91-7224C49458BB}"/>
              </c:extLst>
            </c:dLbl>
            <c:dLbl>
              <c:idx val="13"/>
              <c:layout>
                <c:manualLayout>
                  <c:x val="6.3137862273356563E-2"/>
                  <c:y val="-0.100561812692943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9D33-4757-92AD-F0536725FDBA}"/>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9D33-4757-92AD-F0536725FDB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'TTUHSCEP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'TTUHSCEP Chts'!$D$53:$D$67</c:f>
              <c:numCache>
                <c:formatCode>"$"#,##0</c:formatCode>
                <c:ptCount val="15"/>
                <c:pt idx="0">
                  <c:v>75659465</c:v>
                </c:pt>
                <c:pt idx="1">
                  <c:v>6114834</c:v>
                </c:pt>
                <c:pt idx="3">
                  <c:v>6234075</c:v>
                </c:pt>
                <c:pt idx="4">
                  <c:v>0</c:v>
                </c:pt>
                <c:pt idx="5">
                  <c:v>8991570</c:v>
                </c:pt>
                <c:pt idx="6">
                  <c:v>3784539</c:v>
                </c:pt>
                <c:pt idx="7">
                  <c:v>5812776</c:v>
                </c:pt>
                <c:pt idx="8">
                  <c:v>5263220</c:v>
                </c:pt>
                <c:pt idx="9">
                  <c:v>79443423</c:v>
                </c:pt>
                <c:pt idx="10">
                  <c:v>417606</c:v>
                </c:pt>
                <c:pt idx="11">
                  <c:v>276566</c:v>
                </c:pt>
                <c:pt idx="12">
                  <c:v>13007582</c:v>
                </c:pt>
                <c:pt idx="13">
                  <c:v>51823292</c:v>
                </c:pt>
                <c:pt idx="14">
                  <c:v>0</c:v>
                </c:pt>
              </c:numCache>
            </c:numRef>
          </c:val>
          <c:extLst xmlns:c16r2="http://schemas.microsoft.com/office/drawing/2015/06/chart">
            <c:ext xmlns:c16="http://schemas.microsoft.com/office/drawing/2014/chart" uri="{C3380CC4-5D6E-409C-BE32-E72D297353CC}">
              <c16:uniqueId val="{0000001D-9D33-4757-92AD-F0536725FDBA}"/>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'TTUHSCEP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57D-42D9-8C01-2972EC79AB5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57D-42D9-8C01-2972EC79AB5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57D-42D9-8C01-2972EC79AB5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57D-42D9-8C01-2972EC79AB5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57D-42D9-8C01-2972EC79AB5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57D-42D9-8C01-2972EC79AB5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57D-42D9-8C01-2972EC79AB5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57D-42D9-8C01-2972EC79AB5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57D-42D9-8C01-2972EC79AB5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57D-42D9-8C01-2972EC79AB5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57D-42D9-8C01-2972EC79AB52}"/>
              </c:ext>
            </c:extLst>
          </c:dPt>
          <c:dLbls>
            <c:dLbl>
              <c:idx val="0"/>
              <c:layout>
                <c:manualLayout>
                  <c:x val="-8.639831498732399E-2"/>
                  <c:y val="2.4670876292744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C57D-42D9-8C01-2972EC79AB52}"/>
                </c:ext>
                <c:ext xmlns:c15="http://schemas.microsoft.com/office/drawing/2012/chart" uri="{CE6537A1-D6FC-4f65-9D91-7224C49458BB}"/>
              </c:extLst>
            </c:dLbl>
            <c:dLbl>
              <c:idx val="1"/>
              <c:layout>
                <c:manualLayout>
                  <c:x val="-0.15922900287607583"/>
                  <c:y val="2.5688477104214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57D-42D9-8C01-2972EC79AB52}"/>
                </c:ext>
                <c:ext xmlns:c15="http://schemas.microsoft.com/office/drawing/2012/chart" uri="{CE6537A1-D6FC-4f65-9D91-7224C49458BB}"/>
              </c:extLst>
            </c:dLbl>
            <c:dLbl>
              <c:idx val="2"/>
              <c:layout>
                <c:manualLayout>
                  <c:x val="-8.755498625898199E-2"/>
                  <c:y val="-8.753946330219777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57D-42D9-8C01-2972EC79AB52}"/>
                </c:ext>
                <c:ext xmlns:c15="http://schemas.microsoft.com/office/drawing/2012/chart" uri="{CE6537A1-D6FC-4f65-9D91-7224C49458BB}"/>
              </c:extLst>
            </c:dLbl>
            <c:dLbl>
              <c:idx val="3"/>
              <c:layout>
                <c:manualLayout>
                  <c:x val="-3.5389598585160387E-2"/>
                  <c:y val="-0.150884142674812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57D-42D9-8C01-2972EC79AB52}"/>
                </c:ext>
                <c:ext xmlns:c15="http://schemas.microsoft.com/office/drawing/2012/chart" uri="{CE6537A1-D6FC-4f65-9D91-7224C49458BB}"/>
              </c:extLst>
            </c:dLbl>
            <c:dLbl>
              <c:idx val="4"/>
              <c:layout>
                <c:manualLayout>
                  <c:x val="0.12097143973366692"/>
                  <c:y val="-0.301847996636276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57D-42D9-8C01-2972EC79AB52}"/>
                </c:ext>
                <c:ext xmlns:c15="http://schemas.microsoft.com/office/drawing/2012/chart" uri="{CE6537A1-D6FC-4f65-9D91-7224C49458BB}"/>
              </c:extLst>
            </c:dLbl>
            <c:dLbl>
              <c:idx val="5"/>
              <c:layout>
                <c:manualLayout>
                  <c:x val="0.15370890545028842"/>
                  <c:y val="-0.192327227248496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57D-42D9-8C01-2972EC79AB52}"/>
                </c:ext>
                <c:ext xmlns:c15="http://schemas.microsoft.com/office/drawing/2012/chart" uri="{CE6537A1-D6FC-4f65-9D91-7224C49458BB}"/>
              </c:extLst>
            </c:dLbl>
            <c:dLbl>
              <c:idx val="6"/>
              <c:layout>
                <c:manualLayout>
                  <c:x val="0.17233896184339875"/>
                  <c:y val="-0.142317277025156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57D-42D9-8C01-2972EC79AB52}"/>
                </c:ext>
                <c:ext xmlns:c15="http://schemas.microsoft.com/office/drawing/2012/chart" uri="{CE6537A1-D6FC-4f65-9D91-7224C49458BB}"/>
              </c:extLst>
            </c:dLbl>
            <c:dLbl>
              <c:idx val="7"/>
              <c:layout>
                <c:manualLayout>
                  <c:x val="0.20300253578299668"/>
                  <c:y val="-2.15927464904502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57D-42D9-8C01-2972EC79AB52}"/>
                </c:ext>
                <c:ext xmlns:c15="http://schemas.microsoft.com/office/drawing/2012/chart" uri="{CE6537A1-D6FC-4f65-9D91-7224C49458BB}"/>
              </c:extLst>
            </c:dLbl>
            <c:dLbl>
              <c:idx val="8"/>
              <c:layout>
                <c:manualLayout>
                  <c:x val="0.15862218226585623"/>
                  <c:y val="0.116585603551176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57D-42D9-8C01-2972EC79AB52}"/>
                </c:ext>
                <c:ext xmlns:c15="http://schemas.microsoft.com/office/drawing/2012/chart" uri="{CE6537A1-D6FC-4f65-9D91-7224C49458BB}"/>
              </c:extLst>
            </c:dLbl>
            <c:dLbl>
              <c:idx val="9"/>
              <c:layout>
                <c:manualLayout>
                  <c:x val="4.0929234258043803E-2"/>
                  <c:y val="0.178758853313518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57D-42D9-8C01-2972EC79AB52}"/>
                </c:ext>
                <c:ext xmlns:c15="http://schemas.microsoft.com/office/drawing/2012/chart" uri="{CE6537A1-D6FC-4f65-9D91-7224C49458BB}"/>
              </c:extLst>
            </c:dLbl>
            <c:dLbl>
              <c:idx val="10"/>
              <c:layout>
                <c:manualLayout>
                  <c:x val="-0.11244446026412871"/>
                  <c:y val="0.21787207845703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57D-42D9-8C01-2972EC79AB52}"/>
                </c:ext>
                <c:ext xmlns:c15="http://schemas.microsoft.com/office/drawing/2012/chart" uri="{CE6537A1-D6FC-4f65-9D91-7224C49458BB}"/>
              </c:extLst>
            </c:dLbl>
            <c:dLbl>
              <c:idx val="11"/>
              <c:layout>
                <c:manualLayout>
                  <c:x val="-0.29139317142814031"/>
                  <c:y val="0.166957898582330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57D-42D9-8C01-2972EC79AB5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'TTUHSCEP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'TTUHSCEP Chts'!$D$102:$D$113</c:f>
              <c:numCache>
                <c:formatCode>"$"#,##0</c:formatCode>
                <c:ptCount val="12"/>
                <c:pt idx="0">
                  <c:v>108245057</c:v>
                </c:pt>
                <c:pt idx="1">
                  <c:v>11095002</c:v>
                </c:pt>
                <c:pt idx="2">
                  <c:v>2820707</c:v>
                </c:pt>
                <c:pt idx="3">
                  <c:v>49800417</c:v>
                </c:pt>
                <c:pt idx="4">
                  <c:v>3124008</c:v>
                </c:pt>
                <c:pt idx="5">
                  <c:v>11916336</c:v>
                </c:pt>
                <c:pt idx="6">
                  <c:v>10519841</c:v>
                </c:pt>
                <c:pt idx="7">
                  <c:v>713519</c:v>
                </c:pt>
                <c:pt idx="8">
                  <c:v>216044</c:v>
                </c:pt>
                <c:pt idx="9">
                  <c:v>1515069</c:v>
                </c:pt>
                <c:pt idx="10">
                  <c:v>0</c:v>
                </c:pt>
                <c:pt idx="11">
                  <c:v>20371013</c:v>
                </c:pt>
              </c:numCache>
            </c:numRef>
          </c:val>
          <c:extLst xmlns:c16r2="http://schemas.microsoft.com/office/drawing/2015/06/chart">
            <c:ext xmlns:c16="http://schemas.microsoft.com/office/drawing/2014/chart" uri="{C3380CC4-5D6E-409C-BE32-E72D297353CC}">
              <c16:uniqueId val="{00000017-C57D-42D9-8C01-2972EC79AB52}"/>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'AUSM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945-40FD-8F18-D035410CBD7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945-40FD-8F18-D035410CBD7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945-40FD-8F18-D035410CBD7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945-40FD-8F18-D035410CBD72}"/>
              </c:ext>
            </c:extLst>
          </c:dPt>
          <c:dLbls>
            <c:dLbl>
              <c:idx val="0"/>
              <c:layout>
                <c:manualLayout>
                  <c:x val="8.4500821019342268E-2"/>
                  <c:y val="-6.02073930596095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9945-40FD-8F18-D035410CBD72}"/>
                </c:ext>
                <c:ext xmlns:c15="http://schemas.microsoft.com/office/drawing/2012/chart" uri="{CE6537A1-D6FC-4f65-9D91-7224C49458BB}"/>
              </c:extLst>
            </c:dLbl>
            <c:dLbl>
              <c:idx val="1"/>
              <c:layout>
                <c:manualLayout>
                  <c:x val="0.11314644458617187"/>
                  <c:y val="1.42385669699837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945-40FD-8F18-D035410CBD72}"/>
                </c:ext>
                <c:ext xmlns:c15="http://schemas.microsoft.com/office/drawing/2012/chart" uri="{CE6537A1-D6FC-4f65-9D91-7224C49458BB}"/>
              </c:extLst>
            </c:dLbl>
            <c:dLbl>
              <c:idx val="2"/>
              <c:layout>
                <c:manualLayout>
                  <c:x val="-3.9018956817270856E-2"/>
                  <c:y val="0.1994172120022270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945-40FD-8F18-D035410CBD72}"/>
                </c:ext>
                <c:ext xmlns:c15="http://schemas.microsoft.com/office/drawing/2012/chart" uri="{CE6537A1-D6FC-4f65-9D91-7224C49458BB}"/>
              </c:extLst>
            </c:dLbl>
            <c:dLbl>
              <c:idx val="3"/>
              <c:layout>
                <c:manualLayout>
                  <c:x val="-7.9974075823288332E-2"/>
                  <c:y val="0.1024532063376496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945-40FD-8F18-D035410CBD72}"/>
                </c:ext>
                <c:ext xmlns:c15="http://schemas.microsoft.com/office/drawing/2012/chart" uri="{CE6537A1-D6FC-4f65-9D91-7224C49458BB}"/>
              </c:extLst>
            </c:dLbl>
            <c:dLbl>
              <c:idx val="4"/>
              <c:layout>
                <c:manualLayout>
                  <c:x val="-3.3613663610680888E-3"/>
                  <c:y val="-8.945857645723034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945-40FD-8F18-D035410CBD7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'AUSM Chts'!$C$11:$C$15</c:f>
              <c:strCache>
                <c:ptCount val="5"/>
                <c:pt idx="0">
                  <c:v>State of Texas</c:v>
                </c:pt>
                <c:pt idx="1">
                  <c:v>Student &amp; Parent</c:v>
                </c:pt>
                <c:pt idx="2">
                  <c:v>Federal Government</c:v>
                </c:pt>
                <c:pt idx="3">
                  <c:v>Institutional Resources</c:v>
                </c:pt>
                <c:pt idx="4">
                  <c:v>Hospitals, Clinics, Professional Fees</c:v>
                </c:pt>
              </c:strCache>
            </c:strRef>
          </c:cat>
          <c:val>
            <c:numRef>
              <c:f>'AUSM Chts'!$D$11:$D$15</c:f>
              <c:numCache>
                <c:formatCode>"$"#,##0</c:formatCode>
                <c:ptCount val="5"/>
                <c:pt idx="0">
                  <c:v>33735871</c:v>
                </c:pt>
                <c:pt idx="1">
                  <c:v>2537661</c:v>
                </c:pt>
                <c:pt idx="2">
                  <c:v>9489928</c:v>
                </c:pt>
                <c:pt idx="3">
                  <c:v>72492873</c:v>
                </c:pt>
                <c:pt idx="4">
                  <c:v>2343886</c:v>
                </c:pt>
              </c:numCache>
            </c:numRef>
          </c:val>
          <c:extLst xmlns:c16r2="http://schemas.microsoft.com/office/drawing/2015/06/chart">
            <c:ext xmlns:c16="http://schemas.microsoft.com/office/drawing/2014/chart" uri="{C3380CC4-5D6E-409C-BE32-E72D297353CC}">
              <c16:uniqueId val="{00000009-9945-40FD-8F18-D035410CBD72}"/>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'AUSM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F98-4044-843E-D23944B705B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F98-4044-843E-D23944B705B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F98-4044-843E-D23944B705B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F98-4044-843E-D23944B705B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F98-4044-843E-D23944B705B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F98-4044-843E-D23944B705B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F98-4044-843E-D23944B705B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F98-4044-843E-D23944B705B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F98-4044-843E-D23944B705B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F98-4044-843E-D23944B705B7}"/>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F98-4044-843E-D23944B705B7}"/>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F98-4044-843E-D23944B705B7}"/>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4F98-4044-843E-D23944B705B7}"/>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4F98-4044-843E-D23944B705B7}"/>
              </c:ext>
            </c:extLst>
          </c:dPt>
          <c:dLbls>
            <c:dLbl>
              <c:idx val="0"/>
              <c:layout>
                <c:manualLayout>
                  <c:x val="0.14630364857765343"/>
                  <c:y val="-9.32917373884371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4F98-4044-843E-D23944B705B7}"/>
                </c:ext>
                <c:ext xmlns:c15="http://schemas.microsoft.com/office/drawing/2012/chart" uri="{CE6537A1-D6FC-4f65-9D91-7224C49458BB}"/>
              </c:extLst>
            </c:dLbl>
            <c:dLbl>
              <c:idx val="1"/>
              <c:layout>
                <c:manualLayout>
                  <c:x val="0.21676979185119113"/>
                  <c:y val="7.10728439369287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F98-4044-843E-D23944B705B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F98-4044-843E-D23944B705B7}"/>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4F98-4044-843E-D23944B705B7}"/>
                </c:ext>
                <c:ext xmlns:c15="http://schemas.microsoft.com/office/drawing/2012/chart" uri="{CE6537A1-D6FC-4f65-9D91-7224C49458BB}"/>
              </c:extLst>
            </c:dLbl>
            <c:dLbl>
              <c:idx val="4"/>
              <c:layout>
                <c:manualLayout>
                  <c:x val="0.13498437886375866"/>
                  <c:y val="0.127074720201713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F98-4044-843E-D23944B705B7}"/>
                </c:ext>
                <c:ext xmlns:c15="http://schemas.microsoft.com/office/drawing/2012/chart" uri="{CE6537A1-D6FC-4f65-9D91-7224C49458BB}"/>
              </c:extLst>
            </c:dLbl>
            <c:dLbl>
              <c:idx val="5"/>
              <c:layout>
                <c:manualLayout>
                  <c:x val="0.13927961080372428"/>
                  <c:y val="0.109842622431610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F98-4044-843E-D23944B705B7}"/>
                </c:ext>
                <c:ext xmlns:c15="http://schemas.microsoft.com/office/drawing/2012/chart" uri="{CE6537A1-D6FC-4f65-9D91-7224C49458BB}"/>
              </c:extLst>
            </c:dLbl>
            <c:dLbl>
              <c:idx val="6"/>
              <c:layout>
                <c:manualLayout>
                  <c:x val="6.7114823573523316E-2"/>
                  <c:y val="0.175501973698938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F98-4044-843E-D23944B705B7}"/>
                </c:ext>
                <c:ext xmlns:c15="http://schemas.microsoft.com/office/drawing/2012/chart" uri="{CE6537A1-D6FC-4f65-9D91-7224C49458BB}"/>
              </c:extLst>
            </c:dLbl>
            <c:dLbl>
              <c:idx val="7"/>
              <c:layout>
                <c:manualLayout>
                  <c:x val="-0.12725849651338211"/>
                  <c:y val="0.1365044231499942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F98-4044-843E-D23944B705B7}"/>
                </c:ext>
                <c:ext xmlns:c15="http://schemas.microsoft.com/office/drawing/2012/chart" uri="{CE6537A1-D6FC-4f65-9D91-7224C49458BB}"/>
              </c:extLst>
            </c:dLbl>
            <c:dLbl>
              <c:idx val="8"/>
              <c:layout>
                <c:manualLayout>
                  <c:x val="-6.663912365060784E-2"/>
                  <c:y val="7.331645876957702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F98-4044-843E-D23944B705B7}"/>
                </c:ext>
                <c:ext xmlns:c15="http://schemas.microsoft.com/office/drawing/2012/chart" uri="{CE6537A1-D6FC-4f65-9D91-7224C49458BB}"/>
              </c:extLst>
            </c:dLbl>
            <c:dLbl>
              <c:idx val="9"/>
              <c:layout>
                <c:manualLayout>
                  <c:x val="-9.5107569884242543E-2"/>
                  <c:y val="0.19555057208196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F98-4044-843E-D23944B705B7}"/>
                </c:ext>
                <c:ext xmlns:c15="http://schemas.microsoft.com/office/drawing/2012/chart" uri="{CE6537A1-D6FC-4f65-9D91-7224C49458BB}"/>
              </c:extLst>
            </c:dLbl>
            <c:dLbl>
              <c:idx val="10"/>
              <c:layout>
                <c:manualLayout>
                  <c:x val="-0.15352928303140748"/>
                  <c:y val="0.109805511813271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F98-4044-843E-D23944B705B7}"/>
                </c:ext>
                <c:ext xmlns:c15="http://schemas.microsoft.com/office/drawing/2012/chart" uri="{CE6537A1-D6FC-4f65-9D91-7224C49458BB}"/>
              </c:extLst>
            </c:dLbl>
            <c:dLbl>
              <c:idx val="11"/>
              <c:layout>
                <c:manualLayout>
                  <c:x val="-0.13408387578194539"/>
                  <c:y val="-1.26378933669201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F98-4044-843E-D23944B705B7}"/>
                </c:ext>
                <c:ext xmlns:c15="http://schemas.microsoft.com/office/drawing/2012/chart" uri="{CE6537A1-D6FC-4f65-9D91-7224C49458BB}"/>
              </c:extLst>
            </c:dLbl>
            <c:dLbl>
              <c:idx val="12"/>
              <c:layout>
                <c:manualLayout>
                  <c:x val="4.1124964445719107E-3"/>
                  <c:y val="-9.53780452680430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F98-4044-843E-D23944B705B7}"/>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9-4F98-4044-843E-D23944B705B7}"/>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4F98-4044-843E-D23944B705B7}"/>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'AUSM Chts'!$D$53:$D$67</c:f>
              <c:numCache>
                <c:formatCode>"$"#,##0</c:formatCode>
                <c:ptCount val="15"/>
                <c:pt idx="0">
                  <c:v>6071343</c:v>
                </c:pt>
                <c:pt idx="1">
                  <c:v>2687263</c:v>
                </c:pt>
                <c:pt idx="3">
                  <c:v>0</c:v>
                </c:pt>
                <c:pt idx="4">
                  <c:v>24977265</c:v>
                </c:pt>
                <c:pt idx="5">
                  <c:v>2537661</c:v>
                </c:pt>
                <c:pt idx="6">
                  <c:v>9489928</c:v>
                </c:pt>
                <c:pt idx="7">
                  <c:v>1922914</c:v>
                </c:pt>
                <c:pt idx="8">
                  <c:v>35881870</c:v>
                </c:pt>
                <c:pt idx="9">
                  <c:v>28179586</c:v>
                </c:pt>
                <c:pt idx="10">
                  <c:v>84761</c:v>
                </c:pt>
                <c:pt idx="11">
                  <c:v>3152078</c:v>
                </c:pt>
                <c:pt idx="12">
                  <c:v>3271664</c:v>
                </c:pt>
                <c:pt idx="13">
                  <c:v>2343886</c:v>
                </c:pt>
                <c:pt idx="14">
                  <c:v>0</c:v>
                </c:pt>
              </c:numCache>
            </c:numRef>
          </c:val>
          <c:extLst xmlns:c16r2="http://schemas.microsoft.com/office/drawing/2015/06/chart">
            <c:ext xmlns:c16="http://schemas.microsoft.com/office/drawing/2014/chart" uri="{C3380CC4-5D6E-409C-BE32-E72D297353CC}">
              <c16:uniqueId val="{0000001D-4F98-4044-843E-D23944B705B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'AUSM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547-460C-8308-A5400C938BB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547-460C-8308-A5400C938BB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547-460C-8308-A5400C938BB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547-460C-8308-A5400C938BB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547-460C-8308-A5400C938BB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547-460C-8308-A5400C938BB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547-460C-8308-A5400C938BB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547-460C-8308-A5400C938BB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547-460C-8308-A5400C938BB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547-460C-8308-A5400C938BBE}"/>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547-460C-8308-A5400C938BBE}"/>
              </c:ext>
            </c:extLst>
          </c:dPt>
          <c:dLbls>
            <c:dLbl>
              <c:idx val="0"/>
              <c:layout>
                <c:manualLayout>
                  <c:x val="-0.1082128431640213"/>
                  <c:y val="0.131232280553895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4547-460C-8308-A5400C938BBE}"/>
                </c:ext>
                <c:ext xmlns:c15="http://schemas.microsoft.com/office/drawing/2012/chart" uri="{CE6537A1-D6FC-4f65-9D91-7224C49458BB}"/>
              </c:extLst>
            </c:dLbl>
            <c:dLbl>
              <c:idx val="1"/>
              <c:layout>
                <c:manualLayout>
                  <c:x val="-0.10105667326608335"/>
                  <c:y val="3.35819144568926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547-460C-8308-A5400C938BBE}"/>
                </c:ext>
                <c:ext xmlns:c15="http://schemas.microsoft.com/office/drawing/2012/chart" uri="{CE6537A1-D6FC-4f65-9D91-7224C49458BB}"/>
              </c:extLst>
            </c:dLbl>
            <c:dLbl>
              <c:idx val="2"/>
              <c:layout>
                <c:manualLayout>
                  <c:x val="-7.0588056789400805E-2"/>
                  <c:y val="-8.35927446258588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547-460C-8308-A5400C938BBE}"/>
                </c:ext>
                <c:ext xmlns:c15="http://schemas.microsoft.com/office/drawing/2012/chart" uri="{CE6537A1-D6FC-4f65-9D91-7224C49458BB}"/>
              </c:extLst>
            </c:dLbl>
            <c:dLbl>
              <c:idx val="3"/>
              <c:layout>
                <c:manualLayout>
                  <c:x val="1.3087342756500038E-2"/>
                  <c:y val="-9.16832071471035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547-460C-8308-A5400C938BB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547-460C-8308-A5400C938BBE}"/>
                </c:ext>
                <c:ext xmlns:c15="http://schemas.microsoft.com/office/drawing/2012/chart" uri="{CE6537A1-D6FC-4f65-9D91-7224C49458BB}"/>
              </c:extLst>
            </c:dLbl>
            <c:dLbl>
              <c:idx val="5"/>
              <c:layout>
                <c:manualLayout>
                  <c:x val="9.7960447205509504E-2"/>
                  <c:y val="-7.98456926227126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547-460C-8308-A5400C938BBE}"/>
                </c:ext>
                <c:ext xmlns:c15="http://schemas.microsoft.com/office/drawing/2012/chart" uri="{CE6537A1-D6FC-4f65-9D91-7224C49458BB}"/>
              </c:extLst>
            </c:dLbl>
            <c:dLbl>
              <c:idx val="6"/>
              <c:layout>
                <c:manualLayout>
                  <c:x val="0.13355740877007025"/>
                  <c:y val="-3.37825134258357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547-460C-8308-A5400C938BBE}"/>
                </c:ext>
                <c:ext xmlns:c15="http://schemas.microsoft.com/office/drawing/2012/chart" uri="{CE6537A1-D6FC-4f65-9D91-7224C49458BB}"/>
              </c:extLst>
            </c:dLbl>
            <c:dLbl>
              <c:idx val="7"/>
              <c:layout>
                <c:manualLayout>
                  <c:x val="0.13149904730404738"/>
                  <c:y val="0.114569047843242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547-460C-8308-A5400C938BB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4547-460C-8308-A5400C938BBE}"/>
                </c:ext>
                <c:ext xmlns:c15="http://schemas.microsoft.com/office/drawing/2012/chart" uri="{CE6537A1-D6FC-4f65-9D91-7224C49458BB}"/>
              </c:extLst>
            </c:dLbl>
            <c:dLbl>
              <c:idx val="9"/>
              <c:layout>
                <c:manualLayout>
                  <c:x val="4.5716236788482792E-3"/>
                  <c:y val="0.241957783783834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547-460C-8308-A5400C938BBE}"/>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4547-460C-8308-A5400C938BB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4547-460C-8308-A5400C938BB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'AUSM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'AUSM Chts'!$D$102:$D$113</c:f>
              <c:numCache>
                <c:formatCode>"$"#,##0</c:formatCode>
                <c:ptCount val="12"/>
                <c:pt idx="0">
                  <c:v>4099463</c:v>
                </c:pt>
                <c:pt idx="1">
                  <c:v>24774653</c:v>
                </c:pt>
                <c:pt idx="2">
                  <c:v>3315193</c:v>
                </c:pt>
                <c:pt idx="3">
                  <c:v>36576862</c:v>
                </c:pt>
                <c:pt idx="4">
                  <c:v>0</c:v>
                </c:pt>
                <c:pt idx="5">
                  <c:v>18869692</c:v>
                </c:pt>
                <c:pt idx="6">
                  <c:v>12533378</c:v>
                </c:pt>
                <c:pt idx="7">
                  <c:v>1209635</c:v>
                </c:pt>
                <c:pt idx="8">
                  <c:v>2596322</c:v>
                </c:pt>
                <c:pt idx="9">
                  <c:v>1390216</c:v>
                </c:pt>
                <c:pt idx="10">
                  <c:v>0</c:v>
                </c:pt>
                <c:pt idx="11">
                  <c:v>18740043</c:v>
                </c:pt>
              </c:numCache>
            </c:numRef>
          </c:val>
          <c:extLst xmlns:c16r2="http://schemas.microsoft.com/office/drawing/2015/06/chart">
            <c:ext xmlns:c16="http://schemas.microsoft.com/office/drawing/2014/chart" uri="{C3380CC4-5D6E-409C-BE32-E72D297353CC}">
              <c16:uniqueId val="{00000017-4547-460C-8308-A5400C938BBE}"/>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'RGVM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E9A-4360-9CA7-7BAF6366665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E9A-4360-9CA7-7BAF6366665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E9A-4360-9CA7-7BAF6366665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E9A-4360-9CA7-7BAF63666651}"/>
              </c:ext>
            </c:extLst>
          </c:dPt>
          <c:dLbls>
            <c:dLbl>
              <c:idx val="0"/>
              <c:layout>
                <c:manualLayout>
                  <c:x val="8.4500821019342268E-2"/>
                  <c:y val="-6.02073930596095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5E9A-4360-9CA7-7BAF63666651}"/>
                </c:ext>
                <c:ext xmlns:c15="http://schemas.microsoft.com/office/drawing/2012/chart" uri="{CE6537A1-D6FC-4f65-9D91-7224C49458BB}"/>
              </c:extLst>
            </c:dLbl>
            <c:dLbl>
              <c:idx val="1"/>
              <c:layout>
                <c:manualLayout>
                  <c:x val="0.12518348188648618"/>
                  <c:y val="6.40745323878686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5E9A-4360-9CA7-7BAF63666651}"/>
                </c:ext>
                <c:ext xmlns:c15="http://schemas.microsoft.com/office/drawing/2012/chart" uri="{CE6537A1-D6FC-4f65-9D91-7224C49458BB}"/>
              </c:extLst>
            </c:dLbl>
            <c:dLbl>
              <c:idx val="2"/>
              <c:layout>
                <c:manualLayout>
                  <c:x val="-0.1979078491814199"/>
                  <c:y val="0.122746495974711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E9A-4360-9CA7-7BAF63666651}"/>
                </c:ext>
                <c:ext xmlns:c15="http://schemas.microsoft.com/office/drawing/2012/chart" uri="{CE6537A1-D6FC-4f65-9D91-7224C49458BB}"/>
              </c:extLst>
            </c:dLbl>
            <c:dLbl>
              <c:idx val="3"/>
              <c:layout>
                <c:manualLayout>
                  <c:x val="-0.10043703923382268"/>
                  <c:y val="6.614811303255703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E9A-4360-9CA7-7BAF63666651}"/>
                </c:ext>
                <c:ext xmlns:c15="http://schemas.microsoft.com/office/drawing/2012/chart" uri="{CE6537A1-D6FC-4f65-9D91-7224C49458BB}"/>
              </c:extLst>
            </c:dLbl>
            <c:dLbl>
              <c:idx val="4"/>
              <c:layout>
                <c:manualLayout>
                  <c:x val="2.3120115699623411E-2"/>
                  <c:y val="-6.26238258476000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E9A-4360-9CA7-7BAF6366665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'RGVM Chts'!$C$11:$C$15</c:f>
              <c:strCache>
                <c:ptCount val="5"/>
                <c:pt idx="0">
                  <c:v>State of Texas</c:v>
                </c:pt>
                <c:pt idx="1">
                  <c:v>Student &amp; Parent</c:v>
                </c:pt>
                <c:pt idx="2">
                  <c:v>Federal Government</c:v>
                </c:pt>
                <c:pt idx="3">
                  <c:v>Institutional Resources</c:v>
                </c:pt>
                <c:pt idx="4">
                  <c:v>Hospitals, Clinics, Professional Fees</c:v>
                </c:pt>
              </c:strCache>
            </c:strRef>
          </c:cat>
          <c:val>
            <c:numRef>
              <c:f>'RGVM Chts'!$D$11:$D$15</c:f>
              <c:numCache>
                <c:formatCode>"$"#,##0</c:formatCode>
                <c:ptCount val="5"/>
                <c:pt idx="0">
                  <c:v>29328746</c:v>
                </c:pt>
                <c:pt idx="1">
                  <c:v>2246511</c:v>
                </c:pt>
                <c:pt idx="2">
                  <c:v>4297754</c:v>
                </c:pt>
                <c:pt idx="3">
                  <c:v>45251058</c:v>
                </c:pt>
                <c:pt idx="4">
                  <c:v>4464325</c:v>
                </c:pt>
              </c:numCache>
            </c:numRef>
          </c:val>
          <c:extLst xmlns:c16r2="http://schemas.microsoft.com/office/drawing/2015/06/chart">
            <c:ext xmlns:c16="http://schemas.microsoft.com/office/drawing/2014/chart" uri="{C3380CC4-5D6E-409C-BE32-E72D297353CC}">
              <c16:uniqueId val="{00000009-5E9A-4360-9CA7-7BAF63666651}"/>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'RGVM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DEB-4854-8E27-61B2098F601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DEB-4854-8E27-61B2098F601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DEB-4854-8E27-61B2098F601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DEB-4854-8E27-61B2098F601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DEB-4854-8E27-61B2098F601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DEB-4854-8E27-61B2098F601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DEB-4854-8E27-61B2098F601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DEB-4854-8E27-61B2098F601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DEB-4854-8E27-61B2098F601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DEB-4854-8E27-61B2098F601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DEB-4854-8E27-61B2098F601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DEB-4854-8E27-61B2098F6013}"/>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CDEB-4854-8E27-61B2098F6013}"/>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CDEB-4854-8E27-61B2098F6013}"/>
              </c:ext>
            </c:extLst>
          </c:dPt>
          <c:dLbls>
            <c:dLbl>
              <c:idx val="0"/>
              <c:layout>
                <c:manualLayout>
                  <c:x val="5.2242163580683079E-2"/>
                  <c:y val="-0.135119274082533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CDEB-4854-8E27-61B2098F6013}"/>
                </c:ext>
                <c:ext xmlns:c15="http://schemas.microsoft.com/office/drawing/2012/chart" uri="{CE6537A1-D6FC-4f65-9D91-7224C49458BB}"/>
              </c:extLst>
            </c:dLbl>
            <c:dLbl>
              <c:idx val="1"/>
              <c:layout>
                <c:manualLayout>
                  <c:x val="0.18041680184638664"/>
                  <c:y val="-0.205394750846623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DEB-4854-8E27-61B2098F601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DEB-4854-8E27-61B2098F6013}"/>
                </c:ext>
                <c:ext xmlns:c15="http://schemas.microsoft.com/office/drawing/2012/chart" uri="{CE6537A1-D6FC-4f65-9D91-7224C49458BB}"/>
              </c:extLst>
            </c:dLbl>
            <c:dLbl>
              <c:idx val="3"/>
              <c:layout>
                <c:manualLayout>
                  <c:x val="0.18320645632560054"/>
                  <c:y val="-6.35295390569917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DEB-4854-8E27-61B2098F601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DEB-4854-8E27-61B2098F6013}"/>
                </c:ext>
                <c:ext xmlns:c15="http://schemas.microsoft.com/office/drawing/2012/chart" uri="{CE6537A1-D6FC-4f65-9D91-7224C49458BB}"/>
              </c:extLst>
            </c:dLbl>
            <c:dLbl>
              <c:idx val="5"/>
              <c:layout>
                <c:manualLayout>
                  <c:x val="0.17561601433980775"/>
                  <c:y val="6.5534885471359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DEB-4854-8E27-61B2098F6013}"/>
                </c:ext>
                <c:ext xmlns:c15="http://schemas.microsoft.com/office/drawing/2012/chart" uri="{CE6537A1-D6FC-4f65-9D91-7224C49458BB}"/>
              </c:extLst>
            </c:dLbl>
            <c:dLbl>
              <c:idx val="6"/>
              <c:layout>
                <c:manualLayout>
                  <c:x val="7.9070539787194652E-2"/>
                  <c:y val="0.126280372743636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DEB-4854-8E27-61B2098F6013}"/>
                </c:ext>
                <c:ext xmlns:c15="http://schemas.microsoft.com/office/drawing/2012/chart" uri="{CE6537A1-D6FC-4f65-9D91-7224C49458BB}"/>
              </c:extLst>
            </c:dLbl>
            <c:dLbl>
              <c:idx val="7"/>
              <c:layout>
                <c:manualLayout>
                  <c:x val="-0.13646502923151857"/>
                  <c:y val="0.12595754151968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DEB-4854-8E27-61B2098F6013}"/>
                </c:ext>
                <c:ext xmlns:c15="http://schemas.microsoft.com/office/drawing/2012/chart" uri="{CE6537A1-D6FC-4f65-9D91-7224C49458BB}"/>
              </c:extLst>
            </c:dLbl>
            <c:dLbl>
              <c:idx val="8"/>
              <c:layout>
                <c:manualLayout>
                  <c:x val="-4.7296268167751565E-2"/>
                  <c:y val="7.79368379828282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DEB-4854-8E27-61B2098F6013}"/>
                </c:ext>
                <c:ext xmlns:c15="http://schemas.microsoft.com/office/drawing/2012/chart" uri="{CE6537A1-D6FC-4f65-9D91-7224C49458BB}"/>
              </c:extLst>
            </c:dLbl>
            <c:dLbl>
              <c:idx val="9"/>
              <c:layout>
                <c:manualLayout>
                  <c:x val="-9.5197421154799233E-2"/>
                  <c:y val="0.148298608885561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DEB-4854-8E27-61B2098F6013}"/>
                </c:ext>
                <c:ext xmlns:c15="http://schemas.microsoft.com/office/drawing/2012/chart" uri="{CE6537A1-D6FC-4f65-9D91-7224C49458BB}"/>
              </c:extLst>
            </c:dLbl>
            <c:dLbl>
              <c:idx val="10"/>
              <c:layout>
                <c:manualLayout>
                  <c:x val="-0.12599375457845774"/>
                  <c:y val="4.16409646361621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DEB-4854-8E27-61B2098F6013}"/>
                </c:ext>
                <c:ext xmlns:c15="http://schemas.microsoft.com/office/drawing/2012/chart" uri="{CE6537A1-D6FC-4f65-9D91-7224C49458BB}"/>
              </c:extLst>
            </c:dLbl>
            <c:dLbl>
              <c:idx val="11"/>
              <c:layout>
                <c:manualLayout>
                  <c:x val="-0.11832208628584324"/>
                  <c:y val="-0.117577895528522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DEB-4854-8E27-61B2098F6013}"/>
                </c:ext>
                <c:ext xmlns:c15="http://schemas.microsoft.com/office/drawing/2012/chart" uri="{CE6537A1-D6FC-4f65-9D91-7224C49458BB}"/>
              </c:extLst>
            </c:dLbl>
            <c:dLbl>
              <c:idx val="12"/>
              <c:layout>
                <c:manualLayout>
                  <c:x val="-2.2406897544624471E-3"/>
                  <c:y val="-0.127952597321265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DEB-4854-8E27-61B2098F6013}"/>
                </c:ext>
                <c:ext xmlns:c15="http://schemas.microsoft.com/office/drawing/2012/chart" uri="{CE6537A1-D6FC-4f65-9D91-7224C49458BB}"/>
              </c:extLst>
            </c:dLbl>
            <c:dLbl>
              <c:idx val="13"/>
              <c:layout>
                <c:manualLayout>
                  <c:x val="8.7211936873985207E-2"/>
                  <c:y val="-0.107889283591059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CDEB-4854-8E27-61B2098F6013}"/>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B-CDEB-4854-8E27-61B2098F601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'RGVM Chts'!$D$53:$D$67</c:f>
              <c:numCache>
                <c:formatCode>"$"#,##0</c:formatCode>
                <c:ptCount val="15"/>
                <c:pt idx="0">
                  <c:v>26403746</c:v>
                </c:pt>
                <c:pt idx="1">
                  <c:v>2925000</c:v>
                </c:pt>
                <c:pt idx="3">
                  <c:v>0</c:v>
                </c:pt>
                <c:pt idx="4">
                  <c:v>0</c:v>
                </c:pt>
                <c:pt idx="5">
                  <c:v>2246511</c:v>
                </c:pt>
                <c:pt idx="6">
                  <c:v>4297754</c:v>
                </c:pt>
                <c:pt idx="7">
                  <c:v>1385207</c:v>
                </c:pt>
                <c:pt idx="8">
                  <c:v>26928876</c:v>
                </c:pt>
                <c:pt idx="9">
                  <c:v>4147194</c:v>
                </c:pt>
                <c:pt idx="10">
                  <c:v>253193</c:v>
                </c:pt>
                <c:pt idx="11">
                  <c:v>0</c:v>
                </c:pt>
                <c:pt idx="12">
                  <c:v>12536588</c:v>
                </c:pt>
                <c:pt idx="13">
                  <c:v>4464325</c:v>
                </c:pt>
                <c:pt idx="14">
                  <c:v>0</c:v>
                </c:pt>
              </c:numCache>
            </c:numRef>
          </c:val>
          <c:extLst xmlns:c16r2="http://schemas.microsoft.com/office/drawing/2015/06/chart">
            <c:ext xmlns:c16="http://schemas.microsoft.com/office/drawing/2014/chart" uri="{C3380CC4-5D6E-409C-BE32-E72D297353CC}">
              <c16:uniqueId val="{0000001D-CDEB-4854-8E27-61B2098F6013}"/>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'RGVM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CE6-4195-9A98-6A7C6D3BDE2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CE6-4195-9A98-6A7C6D3BDE2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CE6-4195-9A98-6A7C6D3BDE2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CE6-4195-9A98-6A7C6D3BDE2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CE6-4195-9A98-6A7C6D3BDE2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CE6-4195-9A98-6A7C6D3BDE2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CE6-4195-9A98-6A7C6D3BDE2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CE6-4195-9A98-6A7C6D3BDE2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CE6-4195-9A98-6A7C6D3BDE2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CE6-4195-9A98-6A7C6D3BDE2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CE6-4195-9A98-6A7C6D3BDE2F}"/>
              </c:ext>
            </c:extLst>
          </c:dPt>
          <c:dLbls>
            <c:dLbl>
              <c:idx val="0"/>
              <c:layout>
                <c:manualLayout>
                  <c:x val="-5.1252437087570255E-2"/>
                  <c:y val="7.005814107064221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4CE6-4195-9A98-6A7C6D3BDE2F}"/>
                </c:ext>
                <c:ext xmlns:c15="http://schemas.microsoft.com/office/drawing/2012/chart" uri="{CE6537A1-D6FC-4f65-9D91-7224C49458BB}"/>
              </c:extLst>
            </c:dLbl>
            <c:dLbl>
              <c:idx val="1"/>
              <c:layout>
                <c:manualLayout>
                  <c:x val="-8.4089743796502192E-2"/>
                  <c:y val="0.153956834085229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CE6-4195-9A98-6A7C6D3BDE2F}"/>
                </c:ext>
                <c:ext xmlns:c15="http://schemas.microsoft.com/office/drawing/2012/chart" uri="{CE6537A1-D6FC-4f65-9D91-7224C49458BB}"/>
              </c:extLst>
            </c:dLbl>
            <c:dLbl>
              <c:idx val="2"/>
              <c:layout>
                <c:manualLayout>
                  <c:x val="-0.11058153339627068"/>
                  <c:y val="0.1157165485292567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CE6-4195-9A98-6A7C6D3BDE2F}"/>
                </c:ext>
                <c:ext xmlns:c15="http://schemas.microsoft.com/office/drawing/2012/chart" uri="{CE6537A1-D6FC-4f65-9D91-7224C49458BB}"/>
              </c:extLst>
            </c:dLbl>
            <c:dLbl>
              <c:idx val="3"/>
              <c:layout>
                <c:manualLayout>
                  <c:x val="-9.7197698795777401E-2"/>
                  <c:y val="6.223882123011455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CE6-4195-9A98-6A7C6D3BDE2F}"/>
                </c:ext>
                <c:ext xmlns:c15="http://schemas.microsoft.com/office/drawing/2012/chart" uri="{CE6537A1-D6FC-4f65-9D91-7224C49458BB}"/>
              </c:extLst>
            </c:dLbl>
            <c:dLbl>
              <c:idx val="4"/>
              <c:layout>
                <c:manualLayout>
                  <c:x val="-0.19170483192004281"/>
                  <c:y val="-4.73502134801885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CE6-4195-9A98-6A7C6D3BDE2F}"/>
                </c:ext>
                <c:ext xmlns:c15="http://schemas.microsoft.com/office/drawing/2012/chart" uri="{CE6537A1-D6FC-4f65-9D91-7224C49458BB}"/>
              </c:extLst>
            </c:dLbl>
            <c:dLbl>
              <c:idx val="5"/>
              <c:layout>
                <c:manualLayout>
                  <c:x val="-0.13351694770091904"/>
                  <c:y val="-0.1272063167387797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CE6-4195-9A98-6A7C6D3BDE2F}"/>
                </c:ext>
                <c:ext xmlns:c15="http://schemas.microsoft.com/office/drawing/2012/chart" uri="{CE6537A1-D6FC-4f65-9D91-7224C49458BB}"/>
              </c:extLst>
            </c:dLbl>
            <c:dLbl>
              <c:idx val="6"/>
              <c:layout>
                <c:manualLayout>
                  <c:x val="7.5173612817532312E-3"/>
                  <c:y val="-0.1363971990106477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CE6-4195-9A98-6A7C6D3BDE2F}"/>
                </c:ext>
                <c:ext xmlns:c15="http://schemas.microsoft.com/office/drawing/2012/chart" uri="{CE6537A1-D6FC-4f65-9D91-7224C49458BB}"/>
              </c:extLst>
            </c:dLbl>
            <c:dLbl>
              <c:idx val="7"/>
              <c:layout>
                <c:manualLayout>
                  <c:x val="0.14846597677362852"/>
                  <c:y val="-6.69800112683479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CE6-4195-9A98-6A7C6D3BDE2F}"/>
                </c:ext>
                <c:ext xmlns:c15="http://schemas.microsoft.com/office/drawing/2012/chart" uri="{CE6537A1-D6FC-4f65-9D91-7224C49458BB}"/>
              </c:extLst>
            </c:dLbl>
            <c:dLbl>
              <c:idx val="8"/>
              <c:layout>
                <c:manualLayout>
                  <c:x val="0.1440791952904078"/>
                  <c:y val="2.97577926717202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CE6-4195-9A98-6A7C6D3BDE2F}"/>
                </c:ext>
                <c:ext xmlns:c15="http://schemas.microsoft.com/office/drawing/2012/chart" uri="{CE6537A1-D6FC-4f65-9D91-7224C49458BB}"/>
              </c:extLst>
            </c:dLbl>
            <c:dLbl>
              <c:idx val="9"/>
              <c:layout>
                <c:manualLayout>
                  <c:x val="0.17302899484111817"/>
                  <c:y val="0.141265025888299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CE6-4195-9A98-6A7C6D3BDE2F}"/>
                </c:ext>
                <c:ext xmlns:c15="http://schemas.microsoft.com/office/drawing/2012/chart" uri="{CE6537A1-D6FC-4f65-9D91-7224C49458BB}"/>
              </c:extLst>
            </c:dLbl>
            <c:dLbl>
              <c:idx val="10"/>
              <c:layout>
                <c:manualLayout>
                  <c:x val="0.13721178764542247"/>
                  <c:y val="0.247472468529580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CE6-4195-9A98-6A7C6D3BDE2F}"/>
                </c:ext>
                <c:ext xmlns:c15="http://schemas.microsoft.com/office/drawing/2012/chart" uri="{CE6537A1-D6FC-4f65-9D91-7224C49458BB}"/>
              </c:extLst>
            </c:dLbl>
            <c:dLbl>
              <c:idx val="11"/>
              <c:layout>
                <c:manualLayout>
                  <c:x val="-1.0226916936192416E-2"/>
                  <c:y val="0.196558243778557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4CE6-4195-9A98-6A7C6D3BDE2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'RGVM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'RGVM Chts'!$D$102:$D$113</c:f>
              <c:numCache>
                <c:formatCode>"$"#,##0</c:formatCode>
                <c:ptCount val="12"/>
                <c:pt idx="0">
                  <c:v>17726948</c:v>
                </c:pt>
                <c:pt idx="1">
                  <c:v>9759351</c:v>
                </c:pt>
                <c:pt idx="2">
                  <c:v>2783024</c:v>
                </c:pt>
                <c:pt idx="3">
                  <c:v>10029460</c:v>
                </c:pt>
                <c:pt idx="4">
                  <c:v>2074264</c:v>
                </c:pt>
                <c:pt idx="5">
                  <c:v>4471475</c:v>
                </c:pt>
                <c:pt idx="6">
                  <c:v>4098636</c:v>
                </c:pt>
                <c:pt idx="7">
                  <c:v>1046996</c:v>
                </c:pt>
                <c:pt idx="8">
                  <c:v>0</c:v>
                </c:pt>
                <c:pt idx="9">
                  <c:v>552580</c:v>
                </c:pt>
                <c:pt idx="10">
                  <c:v>0</c:v>
                </c:pt>
                <c:pt idx="11">
                  <c:v>26329257</c:v>
                </c:pt>
              </c:numCache>
            </c:numRef>
          </c:val>
          <c:extLst xmlns:c16r2="http://schemas.microsoft.com/office/drawing/2015/06/chart">
            <c:ext xmlns:c16="http://schemas.microsoft.com/office/drawing/2014/chart" uri="{C3380CC4-5D6E-409C-BE32-E72D297353CC}">
              <c16:uniqueId val="{00000017-4CE6-4195-9A98-6A7C6D3BDE2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46E-2"/>
        </c:manualLayout>
      </c:layout>
      <c:overlay val="0"/>
      <c:spPr>
        <a:noFill/>
        <a:ln w="25400">
          <a:noFill/>
        </a:ln>
      </c:spPr>
    </c:title>
    <c:autoTitleDeleted val="0"/>
    <c:plotArea>
      <c:layout>
        <c:manualLayout>
          <c:layoutTarget val="inner"/>
          <c:xMode val="edge"/>
          <c:yMode val="edge"/>
          <c:x val="0.39717106204943076"/>
          <c:y val="0.33594813033231291"/>
          <c:w val="0.22104485482277389"/>
          <c:h val="0.34143553880192479"/>
        </c:manualLayout>
      </c:layout>
      <c:pieChart>
        <c:varyColors val="1"/>
        <c:ser>
          <c:idx val="0"/>
          <c:order val="0"/>
          <c:tx>
            <c:strRef>
              <c:f>'SWM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461-4CF4-B7F0-29201C723D0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461-4CF4-B7F0-29201C723D0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461-4CF4-B7F0-29201C723D0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461-4CF4-B7F0-29201C723D02}"/>
              </c:ext>
            </c:extLst>
          </c:dPt>
          <c:dLbls>
            <c:dLbl>
              <c:idx val="0"/>
              <c:layout>
                <c:manualLayout>
                  <c:x val="-8.2852893477233763E-2"/>
                  <c:y val="-9.04694702541314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3461-4CF4-B7F0-29201C723D02}"/>
                </c:ext>
                <c:ext xmlns:c15="http://schemas.microsoft.com/office/drawing/2012/chart" uri="{CE6537A1-D6FC-4f65-9D91-7224C49458BB}"/>
              </c:extLst>
            </c:dLbl>
            <c:dLbl>
              <c:idx val="1"/>
              <c:layout>
                <c:manualLayout>
                  <c:x val="7.6847687553839014E-2"/>
                  <c:y val="-5.84538355141887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461-4CF4-B7F0-29201C723D02}"/>
                </c:ext>
                <c:ext xmlns:c15="http://schemas.microsoft.com/office/drawing/2012/chart" uri="{CE6537A1-D6FC-4f65-9D91-7224C49458BB}"/>
              </c:extLst>
            </c:dLbl>
            <c:dLbl>
              <c:idx val="2"/>
              <c:layout>
                <c:manualLayout>
                  <c:x val="9.6328817011235579E-2"/>
                  <c:y val="0.108816740871705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461-4CF4-B7F0-29201C723D02}"/>
                </c:ext>
                <c:ext xmlns:c15="http://schemas.microsoft.com/office/drawing/2012/chart" uri="{CE6537A1-D6FC-4f65-9D91-7224C49458BB}"/>
              </c:extLst>
            </c:dLbl>
            <c:dLbl>
              <c:idx val="3"/>
              <c:layout>
                <c:manualLayout>
                  <c:x val="4.9865279949289E-2"/>
                  <c:y val="0.163289150659068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461-4CF4-B7F0-29201C723D02}"/>
                </c:ext>
                <c:ext xmlns:c15="http://schemas.microsoft.com/office/drawing/2012/chart" uri="{CE6537A1-D6FC-4f65-9D91-7224C49458BB}"/>
              </c:extLst>
            </c:dLbl>
            <c:dLbl>
              <c:idx val="4"/>
              <c:layout>
                <c:manualLayout>
                  <c:x val="-9.9110340825433726E-2"/>
                  <c:y val="-5.4602536765984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461-4CF4-B7F0-29201C723D0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'SWM Chts'!$C$11:$C$15</c:f>
              <c:strCache>
                <c:ptCount val="5"/>
                <c:pt idx="0">
                  <c:v>State of Texas</c:v>
                </c:pt>
                <c:pt idx="1">
                  <c:v>Student &amp; Parent</c:v>
                </c:pt>
                <c:pt idx="2">
                  <c:v>Federal Government</c:v>
                </c:pt>
                <c:pt idx="3">
                  <c:v>Institutional Resources</c:v>
                </c:pt>
                <c:pt idx="4">
                  <c:v>Hospitals, Clinics, Professional Fees</c:v>
                </c:pt>
              </c:strCache>
            </c:strRef>
          </c:cat>
          <c:val>
            <c:numRef>
              <c:f>'SWM Chts'!$D$11:$D$15</c:f>
              <c:numCache>
                <c:formatCode>"$"#,##0</c:formatCode>
                <c:ptCount val="5"/>
                <c:pt idx="0">
                  <c:v>233159298</c:v>
                </c:pt>
                <c:pt idx="1">
                  <c:v>27027529</c:v>
                </c:pt>
                <c:pt idx="2">
                  <c:v>201008263</c:v>
                </c:pt>
                <c:pt idx="3">
                  <c:v>690373215</c:v>
                </c:pt>
                <c:pt idx="4">
                  <c:v>1973863921</c:v>
                </c:pt>
              </c:numCache>
            </c:numRef>
          </c:val>
          <c:extLst xmlns:c16r2="http://schemas.microsoft.com/office/drawing/2015/06/chart">
            <c:ext xmlns:c16="http://schemas.microsoft.com/office/drawing/2014/chart" uri="{C3380CC4-5D6E-409C-BE32-E72D297353CC}">
              <c16:uniqueId val="{00000009-3461-4CF4-B7F0-29201C723D02}"/>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19359394779152"/>
          <c:y val="2.1530303467732811E-2"/>
        </c:manualLayout>
      </c:layout>
      <c:overlay val="0"/>
      <c:spPr>
        <a:noFill/>
        <a:ln w="25400">
          <a:noFill/>
        </a:ln>
      </c:spPr>
    </c:title>
    <c:autoTitleDeleted val="0"/>
    <c:plotArea>
      <c:layout>
        <c:manualLayout>
          <c:layoutTarget val="inner"/>
          <c:xMode val="edge"/>
          <c:yMode val="edge"/>
          <c:x val="0.39324005936665973"/>
          <c:y val="0.33858311108606193"/>
          <c:w val="0.21406396749309778"/>
          <c:h val="0.33246887876264647"/>
        </c:manualLayout>
      </c:layout>
      <c:pieChart>
        <c:varyColors val="1"/>
        <c:ser>
          <c:idx val="0"/>
          <c:order val="0"/>
          <c:tx>
            <c:strRef>
              <c:f>'SWM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3E4-4500-983B-4C8F057783A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3E4-4500-983B-4C8F057783A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3E4-4500-983B-4C8F057783A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3E4-4500-983B-4C8F057783A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3E4-4500-983B-4C8F057783A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3E4-4500-983B-4C8F057783A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3E4-4500-983B-4C8F057783A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3E4-4500-983B-4C8F057783A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3E4-4500-983B-4C8F057783A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3E4-4500-983B-4C8F057783A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3E4-4500-983B-4C8F057783A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3E4-4500-983B-4C8F057783A9}"/>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03E4-4500-983B-4C8F057783A9}"/>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03E4-4500-983B-4C8F057783A9}"/>
              </c:ext>
            </c:extLst>
          </c:dPt>
          <c:dLbls>
            <c:dLbl>
              <c:idx val="0"/>
              <c:layout>
                <c:manualLayout>
                  <c:x val="-0.34801807792570172"/>
                  <c:y val="-8.7926623743554266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03E4-4500-983B-4C8F057783A9}"/>
                </c:ext>
                <c:ext xmlns:c15="http://schemas.microsoft.com/office/drawing/2012/chart" uri="{CE6537A1-D6FC-4f65-9D91-7224C49458BB}"/>
              </c:extLst>
            </c:dLbl>
            <c:dLbl>
              <c:idx val="1"/>
              <c:layout>
                <c:manualLayout>
                  <c:x val="-0.18279929953914259"/>
                  <c:y val="-0.1215129353041726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3E4-4500-983B-4C8F057783A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3E4-4500-983B-4C8F057783A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03E4-4500-983B-4C8F057783A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03E4-4500-983B-4C8F057783A9}"/>
                </c:ext>
                <c:ext xmlns:c15="http://schemas.microsoft.com/office/drawing/2012/chart" uri="{CE6537A1-D6FC-4f65-9D91-7224C49458BB}"/>
              </c:extLst>
            </c:dLbl>
            <c:dLbl>
              <c:idx val="5"/>
              <c:layout>
                <c:manualLayout>
                  <c:x val="1.9288358913777653E-2"/>
                  <c:y val="-0.137519030460305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3E4-4500-983B-4C8F057783A9}"/>
                </c:ext>
                <c:ext xmlns:c15="http://schemas.microsoft.com/office/drawing/2012/chart" uri="{CE6537A1-D6FC-4f65-9D91-7224C49458BB}"/>
              </c:extLst>
            </c:dLbl>
            <c:dLbl>
              <c:idx val="6"/>
              <c:layout>
                <c:manualLayout>
                  <c:x val="0.1312284565445852"/>
                  <c:y val="-6.059142305999738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3E4-4500-983B-4C8F057783A9}"/>
                </c:ext>
                <c:ext xmlns:c15="http://schemas.microsoft.com/office/drawing/2012/chart" uri="{CE6537A1-D6FC-4f65-9D91-7224C49458BB}"/>
              </c:extLst>
            </c:dLbl>
            <c:dLbl>
              <c:idx val="7"/>
              <c:layout>
                <c:manualLayout>
                  <c:x val="0.12302838997123243"/>
                  <c:y val="7.476662754776789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3E4-4500-983B-4C8F057783A9}"/>
                </c:ext>
                <c:ext xmlns:c15="http://schemas.microsoft.com/office/drawing/2012/chart" uri="{CE6537A1-D6FC-4f65-9D91-7224C49458BB}"/>
              </c:extLst>
            </c:dLbl>
            <c:dLbl>
              <c:idx val="8"/>
              <c:layout>
                <c:manualLayout>
                  <c:x val="0.12947720962113857"/>
                  <c:y val="6.2980325212217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3E4-4500-983B-4C8F057783A9}"/>
                </c:ext>
                <c:ext xmlns:c15="http://schemas.microsoft.com/office/drawing/2012/chart" uri="{CE6537A1-D6FC-4f65-9D91-7224C49458BB}"/>
              </c:extLst>
            </c:dLbl>
            <c:dLbl>
              <c:idx val="9"/>
              <c:layout>
                <c:manualLayout>
                  <c:x val="0.11812097470060948"/>
                  <c:y val="7.41213234758315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3E4-4500-983B-4C8F057783A9}"/>
                </c:ext>
                <c:ext xmlns:c15="http://schemas.microsoft.com/office/drawing/2012/chart" uri="{CE6537A1-D6FC-4f65-9D91-7224C49458BB}"/>
              </c:extLst>
            </c:dLbl>
            <c:dLbl>
              <c:idx val="10"/>
              <c:layout>
                <c:manualLayout>
                  <c:x val="0.1030248224584219"/>
                  <c:y val="0.148370055066448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3E4-4500-983B-4C8F057783A9}"/>
                </c:ext>
                <c:ext xmlns:c15="http://schemas.microsoft.com/office/drawing/2012/chart" uri="{CE6537A1-D6FC-4f65-9D91-7224C49458BB}"/>
              </c:extLst>
            </c:dLbl>
            <c:dLbl>
              <c:idx val="11"/>
              <c:layout>
                <c:manualLayout>
                  <c:x val="-9.2204662257761704E-3"/>
                  <c:y val="0.211652824305862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3E4-4500-983B-4C8F057783A9}"/>
                </c:ext>
                <c:ext xmlns:c15="http://schemas.microsoft.com/office/drawing/2012/chart" uri="{CE6537A1-D6FC-4f65-9D91-7224C49458BB}"/>
              </c:extLst>
            </c:dLbl>
            <c:dLbl>
              <c:idx val="12"/>
              <c:layout>
                <c:manualLayout>
                  <c:x val="-0.15558383996311928"/>
                  <c:y val="0.185022424879919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03E4-4500-983B-4C8F057783A9}"/>
                </c:ext>
                <c:ext xmlns:c15="http://schemas.microsoft.com/office/drawing/2012/chart" uri="{CE6537A1-D6FC-4f65-9D91-7224C49458BB}"/>
              </c:extLst>
            </c:dLbl>
            <c:dLbl>
              <c:idx val="13"/>
              <c:layout>
                <c:manualLayout>
                  <c:x val="-0.1923623000714261"/>
                  <c:y val="6.13871227957306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03E4-4500-983B-4C8F057783A9}"/>
                </c:ext>
                <c:ext xmlns:c15="http://schemas.microsoft.com/office/drawing/2012/chart" uri="{CE6537A1-D6FC-4f65-9D91-7224C49458BB}"/>
              </c:extLst>
            </c:dLbl>
            <c:dLbl>
              <c:idx val="14"/>
              <c:layout>
                <c:manualLayout>
                  <c:x val="-0.10955278326658306"/>
                  <c:y val="0.140321858740159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03E4-4500-983B-4C8F057783A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'SWM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'SWM Chts'!$D$53:$D$67</c:f>
              <c:numCache>
                <c:formatCode>"$"#,##0</c:formatCode>
                <c:ptCount val="15"/>
                <c:pt idx="0">
                  <c:v>191118600</c:v>
                </c:pt>
                <c:pt idx="1">
                  <c:v>42040698</c:v>
                </c:pt>
                <c:pt idx="3">
                  <c:v>0</c:v>
                </c:pt>
                <c:pt idx="4">
                  <c:v>0</c:v>
                </c:pt>
                <c:pt idx="5">
                  <c:v>27027529</c:v>
                </c:pt>
                <c:pt idx="6">
                  <c:v>201008263</c:v>
                </c:pt>
                <c:pt idx="7">
                  <c:v>133254944</c:v>
                </c:pt>
                <c:pt idx="8">
                  <c:v>209031879</c:v>
                </c:pt>
                <c:pt idx="9">
                  <c:v>172392594</c:v>
                </c:pt>
                <c:pt idx="10">
                  <c:v>9620654</c:v>
                </c:pt>
                <c:pt idx="11">
                  <c:v>26351428</c:v>
                </c:pt>
                <c:pt idx="12">
                  <c:v>139721716</c:v>
                </c:pt>
                <c:pt idx="13">
                  <c:v>665714950</c:v>
                </c:pt>
                <c:pt idx="14">
                  <c:v>1308148971</c:v>
                </c:pt>
              </c:numCache>
            </c:numRef>
          </c:val>
          <c:extLst xmlns:c16r2="http://schemas.microsoft.com/office/drawing/2015/06/chart">
            <c:ext xmlns:c16="http://schemas.microsoft.com/office/drawing/2014/chart" uri="{C3380CC4-5D6E-409C-BE32-E72D297353CC}">
              <c16:uniqueId val="{0000001D-03E4-4500-983B-4C8F057783A9}"/>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86"/>
          <c:y val="2.4423337856174877E-2"/>
        </c:manualLayout>
      </c:layout>
      <c:overlay val="0"/>
      <c:spPr>
        <a:noFill/>
        <a:ln w="25400">
          <a:noFill/>
        </a:ln>
      </c:spPr>
    </c:title>
    <c:autoTitleDeleted val="0"/>
    <c:plotArea>
      <c:layout>
        <c:manualLayout>
          <c:layoutTarget val="inner"/>
          <c:xMode val="edge"/>
          <c:yMode val="edge"/>
          <c:x val="0.39554087530968535"/>
          <c:y val="0.37449118046132973"/>
          <c:w val="0.21964252728641179"/>
          <c:h val="0.35225053082094782"/>
        </c:manualLayout>
      </c:layout>
      <c:pieChart>
        <c:varyColors val="1"/>
        <c:ser>
          <c:idx val="0"/>
          <c:order val="0"/>
          <c:tx>
            <c:strRef>
              <c:f>'SWM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901-49FA-9E63-ECE159DCE00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901-49FA-9E63-ECE159DCE00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901-49FA-9E63-ECE159DCE00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901-49FA-9E63-ECE159DCE00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901-49FA-9E63-ECE159DCE00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901-49FA-9E63-ECE159DCE00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901-49FA-9E63-ECE159DCE00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901-49FA-9E63-ECE159DCE00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901-49FA-9E63-ECE159DCE00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901-49FA-9E63-ECE159DCE005}"/>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901-49FA-9E63-ECE159DCE005}"/>
              </c:ext>
            </c:extLst>
          </c:dPt>
          <c:dLbls>
            <c:dLbl>
              <c:idx val="0"/>
              <c:layout>
                <c:manualLayout>
                  <c:x val="-7.7635798573701342E-2"/>
                  <c:y val="7.70800070220585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1901-49FA-9E63-ECE159DCE005}"/>
                </c:ext>
                <c:ext xmlns:c15="http://schemas.microsoft.com/office/drawing/2012/chart" uri="{CE6537A1-D6FC-4f65-9D91-7224C49458BB}"/>
              </c:extLst>
            </c:dLbl>
            <c:dLbl>
              <c:idx val="1"/>
              <c:layout>
                <c:manualLayout>
                  <c:x val="-0.17306141381732459"/>
                  <c:y val="0.2654410385066062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901-49FA-9E63-ECE159DCE005}"/>
                </c:ext>
                <c:ext xmlns:c15="http://schemas.microsoft.com/office/drawing/2012/chart" uri="{CE6537A1-D6FC-4f65-9D91-7224C49458BB}"/>
              </c:extLst>
            </c:dLbl>
            <c:dLbl>
              <c:idx val="2"/>
              <c:layout>
                <c:manualLayout>
                  <c:x val="-0.23577191387660937"/>
                  <c:y val="0.1480515885885549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901-49FA-9E63-ECE159DCE005}"/>
                </c:ext>
                <c:ext xmlns:c15="http://schemas.microsoft.com/office/drawing/2012/chart" uri="{CE6537A1-D6FC-4f65-9D91-7224C49458BB}"/>
              </c:extLst>
            </c:dLbl>
            <c:dLbl>
              <c:idx val="3"/>
              <c:layout>
                <c:manualLayout>
                  <c:x val="-0.25064059311695669"/>
                  <c:y val="2.288632418414682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901-49FA-9E63-ECE159DCE005}"/>
                </c:ext>
                <c:ext xmlns:c15="http://schemas.microsoft.com/office/drawing/2012/chart" uri="{CE6537A1-D6FC-4f65-9D91-7224C49458BB}"/>
              </c:extLst>
            </c:dLbl>
            <c:dLbl>
              <c:idx val="4"/>
              <c:layout>
                <c:manualLayout>
                  <c:x val="-0.24182588017991863"/>
                  <c:y val="-0.101660441293237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901-49FA-9E63-ECE159DCE005}"/>
                </c:ext>
                <c:ext xmlns:c15="http://schemas.microsoft.com/office/drawing/2012/chart" uri="{CE6537A1-D6FC-4f65-9D91-7224C49458BB}"/>
              </c:extLst>
            </c:dLbl>
            <c:dLbl>
              <c:idx val="5"/>
              <c:layout>
                <c:manualLayout>
                  <c:x val="-0.13431248471083013"/>
                  <c:y val="-0.171001906132303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901-49FA-9E63-ECE159DCE005}"/>
                </c:ext>
                <c:ext xmlns:c15="http://schemas.microsoft.com/office/drawing/2012/chart" uri="{CE6537A1-D6FC-4f65-9D91-7224C49458BB}"/>
              </c:extLst>
            </c:dLbl>
            <c:dLbl>
              <c:idx val="6"/>
              <c:layout>
                <c:manualLayout>
                  <c:x val="3.1343686891448387E-4"/>
                  <c:y val="-0.142768408652896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901-49FA-9E63-ECE159DCE005}"/>
                </c:ext>
                <c:ext xmlns:c15="http://schemas.microsoft.com/office/drawing/2012/chart" uri="{CE6537A1-D6FC-4f65-9D91-7224C49458BB}"/>
              </c:extLst>
            </c:dLbl>
            <c:dLbl>
              <c:idx val="7"/>
              <c:layout>
                <c:manualLayout>
                  <c:x val="0.15372291820624631"/>
                  <c:y val="-0.1549063336029752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901-49FA-9E63-ECE159DCE005}"/>
                </c:ext>
                <c:ext xmlns:c15="http://schemas.microsoft.com/office/drawing/2012/chart" uri="{CE6537A1-D6FC-4f65-9D91-7224C49458BB}"/>
              </c:extLst>
            </c:dLbl>
            <c:dLbl>
              <c:idx val="8"/>
              <c:layout>
                <c:manualLayout>
                  <c:x val="0.25608190265562625"/>
                  <c:y val="-5.830959987375294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901-49FA-9E63-ECE159DCE005}"/>
                </c:ext>
                <c:ext xmlns:c15="http://schemas.microsoft.com/office/drawing/2012/chart" uri="{CE6537A1-D6FC-4f65-9D91-7224C49458BB}"/>
              </c:extLst>
            </c:dLbl>
            <c:dLbl>
              <c:idx val="9"/>
              <c:layout>
                <c:manualLayout>
                  <c:x val="0.22626616126274768"/>
                  <c:y val="3.89885756320742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901-49FA-9E63-ECE159DCE005}"/>
                </c:ext>
                <c:ext xmlns:c15="http://schemas.microsoft.com/office/drawing/2012/chart" uri="{CE6537A1-D6FC-4f65-9D91-7224C49458BB}"/>
              </c:extLst>
            </c:dLbl>
            <c:dLbl>
              <c:idx val="10"/>
              <c:layout>
                <c:manualLayout>
                  <c:x val="0.21004601655102106"/>
                  <c:y val="0.147188144204997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901-49FA-9E63-ECE159DCE005}"/>
                </c:ext>
                <c:ext xmlns:c15="http://schemas.microsoft.com/office/drawing/2012/chart" uri="{CE6537A1-D6FC-4f65-9D91-7224C49458BB}"/>
              </c:extLst>
            </c:dLbl>
            <c:dLbl>
              <c:idx val="11"/>
              <c:layout>
                <c:manualLayout>
                  <c:x val="4.8124454245941604E-2"/>
                  <c:y val="0.17179390161921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1901-49FA-9E63-ECE159DCE005}"/>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'SWM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'SWM Chts'!$D$102:$D$113</c:f>
              <c:numCache>
                <c:formatCode>"$"#,##0</c:formatCode>
                <c:ptCount val="12"/>
                <c:pt idx="0">
                  <c:v>951791832</c:v>
                </c:pt>
                <c:pt idx="1">
                  <c:v>363136707</c:v>
                </c:pt>
                <c:pt idx="2">
                  <c:v>31194857</c:v>
                </c:pt>
                <c:pt idx="3">
                  <c:v>23866871</c:v>
                </c:pt>
                <c:pt idx="4">
                  <c:v>4004422</c:v>
                </c:pt>
                <c:pt idx="5">
                  <c:v>70995819</c:v>
                </c:pt>
                <c:pt idx="6">
                  <c:v>83724272</c:v>
                </c:pt>
                <c:pt idx="7">
                  <c:v>4460128</c:v>
                </c:pt>
                <c:pt idx="8">
                  <c:v>24066743</c:v>
                </c:pt>
                <c:pt idx="9">
                  <c:v>14443657</c:v>
                </c:pt>
                <c:pt idx="10">
                  <c:v>7759542</c:v>
                </c:pt>
                <c:pt idx="11">
                  <c:v>1210667716</c:v>
                </c:pt>
              </c:numCache>
            </c:numRef>
          </c:val>
          <c:extLst xmlns:c16r2="http://schemas.microsoft.com/office/drawing/2015/06/chart">
            <c:ext xmlns:c16="http://schemas.microsoft.com/office/drawing/2014/chart" uri="{C3380CC4-5D6E-409C-BE32-E72D297353CC}">
              <c16:uniqueId val="{00000017-1901-49FA-9E63-ECE159DCE005}"/>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599862079489585"/>
          <c:y val="2.954147192354924E-2"/>
        </c:manualLayout>
      </c:layout>
      <c:overlay val="0"/>
      <c:spPr>
        <a:noFill/>
        <a:ln w="25400">
          <a:noFill/>
        </a:ln>
      </c:spPr>
    </c:title>
    <c:autoTitleDeleted val="0"/>
    <c:plotArea>
      <c:layout>
        <c:manualLayout>
          <c:layoutTarget val="inner"/>
          <c:xMode val="edge"/>
          <c:yMode val="edge"/>
          <c:x val="0.38839051544046527"/>
          <c:y val="0.33977695614835995"/>
          <c:w val="0.21884519327621113"/>
          <c:h val="0.33803784548789634"/>
        </c:manualLayout>
      </c:layout>
      <c:pieChart>
        <c:varyColors val="1"/>
        <c:ser>
          <c:idx val="0"/>
          <c:order val="0"/>
          <c:tx>
            <c:strRef>
              <c:f>'MBG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4EA-45B0-95D1-422521ADBC5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4EA-45B0-95D1-422521ADBC5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4EA-45B0-95D1-422521ADBC5D}"/>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4EA-45B0-95D1-422521ADBC5D}"/>
              </c:ext>
            </c:extLst>
          </c:dPt>
          <c:dLbls>
            <c:dLbl>
              <c:idx val="0"/>
              <c:layout>
                <c:manualLayout>
                  <c:x val="1.3141601337305367E-2"/>
                  <c:y val="-9.52891874955476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44EA-45B0-95D1-422521ADBC5D}"/>
                </c:ext>
                <c:ext xmlns:c15="http://schemas.microsoft.com/office/drawing/2012/chart" uri="{CE6537A1-D6FC-4f65-9D91-7224C49458BB}"/>
              </c:extLst>
            </c:dLbl>
            <c:dLbl>
              <c:idx val="1"/>
              <c:layout>
                <c:manualLayout>
                  <c:x val="9.7520948473044947E-2"/>
                  <c:y val="-2.974492192263621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4EA-45B0-95D1-422521ADBC5D}"/>
                </c:ext>
                <c:ext xmlns:c15="http://schemas.microsoft.com/office/drawing/2012/chart" uri="{CE6537A1-D6FC-4f65-9D91-7224C49458BB}"/>
              </c:extLst>
            </c:dLbl>
            <c:dLbl>
              <c:idx val="2"/>
              <c:layout>
                <c:manualLayout>
                  <c:x val="8.033092185034095E-2"/>
                  <c:y val="0.125405690779107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4EA-45B0-95D1-422521ADBC5D}"/>
                </c:ext>
                <c:ext xmlns:c15="http://schemas.microsoft.com/office/drawing/2012/chart" uri="{CE6537A1-D6FC-4f65-9D91-7224C49458BB}"/>
              </c:extLst>
            </c:dLbl>
            <c:dLbl>
              <c:idx val="3"/>
              <c:layout>
                <c:manualLayout>
                  <c:x val="-7.8658816243631149E-2"/>
                  <c:y val="0.182682799314672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4EA-45B0-95D1-422521ADBC5D}"/>
                </c:ext>
                <c:ext xmlns:c15="http://schemas.microsoft.com/office/drawing/2012/chart" uri="{CE6537A1-D6FC-4f65-9D91-7224C49458BB}"/>
              </c:extLst>
            </c:dLbl>
            <c:dLbl>
              <c:idx val="4"/>
              <c:layout>
                <c:manualLayout>
                  <c:x val="-7.26121479865591E-2"/>
                  <c:y val="2.34635065447824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4EA-45B0-95D1-422521ADBC5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'MBG Chts'!$C$11:$C$15</c:f>
              <c:strCache>
                <c:ptCount val="5"/>
                <c:pt idx="0">
                  <c:v>State of Texas</c:v>
                </c:pt>
                <c:pt idx="1">
                  <c:v>Student &amp; Parent</c:v>
                </c:pt>
                <c:pt idx="2">
                  <c:v>Federal Government</c:v>
                </c:pt>
                <c:pt idx="3">
                  <c:v>Institutional Resources</c:v>
                </c:pt>
                <c:pt idx="4">
                  <c:v>Hospitals, Clinics, Professional Fees</c:v>
                </c:pt>
              </c:strCache>
            </c:strRef>
          </c:cat>
          <c:val>
            <c:numRef>
              <c:f>'MBG Chts'!$D$11:$D$15</c:f>
              <c:numCache>
                <c:formatCode>"$"#,##0</c:formatCode>
                <c:ptCount val="5"/>
                <c:pt idx="0">
                  <c:v>380383100</c:v>
                </c:pt>
                <c:pt idx="1">
                  <c:v>41368962</c:v>
                </c:pt>
                <c:pt idx="2">
                  <c:v>129743832</c:v>
                </c:pt>
                <c:pt idx="3">
                  <c:v>277257457</c:v>
                </c:pt>
                <c:pt idx="4">
                  <c:v>1393981289</c:v>
                </c:pt>
              </c:numCache>
            </c:numRef>
          </c:val>
          <c:extLst xmlns:c16r2="http://schemas.microsoft.com/office/drawing/2015/06/chart">
            <c:ext xmlns:c16="http://schemas.microsoft.com/office/drawing/2014/chart" uri="{C3380CC4-5D6E-409C-BE32-E72D297353CC}">
              <c16:uniqueId val="{00000009-44EA-45B0-95D1-422521ADBC5D}"/>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430202326920333"/>
          <c:y val="0.31790076251311788"/>
          <c:w val="0.22074943536301794"/>
          <c:h val="0.34285227038500005"/>
        </c:manualLayout>
      </c:layout>
      <c:pieChart>
        <c:varyColors val="1"/>
        <c:ser>
          <c:idx val="0"/>
          <c:order val="0"/>
          <c:tx>
            <c:strRef>
              <c:f>'MBG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813-4855-935F-BF358C2AC97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813-4855-935F-BF358C2AC97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813-4855-935F-BF358C2AC97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813-4855-935F-BF358C2AC97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813-4855-935F-BF358C2AC97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813-4855-935F-BF358C2AC97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813-4855-935F-BF358C2AC97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813-4855-935F-BF358C2AC97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813-4855-935F-BF358C2AC97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813-4855-935F-BF358C2AC979}"/>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C813-4855-935F-BF358C2AC979}"/>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C813-4855-935F-BF358C2AC979}"/>
              </c:ext>
            </c:extLst>
          </c:dPt>
          <c:dPt>
            <c:idx val="13"/>
            <c:bubble3D val="0"/>
            <c:spPr>
              <a:solidFill>
                <a:srgbClr val="800000"/>
              </a:solidFill>
              <a:ln w="12700">
                <a:solidFill>
                  <a:srgbClr val="000000"/>
                </a:solidFill>
                <a:prstDash val="solid"/>
              </a:ln>
            </c:spPr>
            <c:extLst xmlns:c16r2="http://schemas.microsoft.com/office/drawing/2015/06/chart">
              <c:ext xmlns:c16="http://schemas.microsoft.com/office/drawing/2014/chart" uri="{C3380CC4-5D6E-409C-BE32-E72D297353CC}">
                <c16:uniqueId val="{00000019-C813-4855-935F-BF358C2AC979}"/>
              </c:ext>
            </c:extLst>
          </c:dPt>
          <c:dPt>
            <c:idx val="14"/>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1B-C813-4855-935F-BF358C2AC979}"/>
              </c:ext>
            </c:extLst>
          </c:dPt>
          <c:dLbls>
            <c:dLbl>
              <c:idx val="0"/>
              <c:layout>
                <c:manualLayout>
                  <c:x val="-0.26367869984949965"/>
                  <c:y val="-9.95509581506485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C-C813-4855-935F-BF358C2AC979}"/>
                </c:ext>
                <c:ext xmlns:c15="http://schemas.microsoft.com/office/drawing/2012/chart" uri="{CE6537A1-D6FC-4f65-9D91-7224C49458BB}"/>
              </c:extLst>
            </c:dLbl>
            <c:dLbl>
              <c:idx val="1"/>
              <c:layout>
                <c:manualLayout>
                  <c:x val="-7.9524596412278048E-2"/>
                  <c:y val="-0.187367333334537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813-4855-935F-BF358C2AC97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C813-4855-935F-BF358C2AC97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C813-4855-935F-BF358C2AC97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C813-4855-935F-BF358C2AC979}"/>
                </c:ext>
                <c:ext xmlns:c15="http://schemas.microsoft.com/office/drawing/2012/chart" uri="{CE6537A1-D6FC-4f65-9D91-7224C49458BB}"/>
              </c:extLst>
            </c:dLbl>
            <c:dLbl>
              <c:idx val="5"/>
              <c:layout>
                <c:manualLayout>
                  <c:x val="8.1001016239482318E-2"/>
                  <c:y val="-0.24548775266507572"/>
                </c:manualLayout>
              </c:layout>
              <c:tx>
                <c:rich>
                  <a:bodyPr/>
                  <a:lstStyle/>
                  <a:p>
                    <a:r>
                      <a:rPr lang="en-US"/>
                      <a:t>Tuition &amp; Fees
$29,189,304, 2%</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813-4855-935F-BF358C2AC979}"/>
                </c:ext>
                <c:ext xmlns:c15="http://schemas.microsoft.com/office/drawing/2012/chart" uri="{CE6537A1-D6FC-4f65-9D91-7224C49458BB}"/>
              </c:extLst>
            </c:dLbl>
            <c:dLbl>
              <c:idx val="6"/>
              <c:layout>
                <c:manualLayout>
                  <c:x val="0.11259094879589772"/>
                  <c:y val="-0.18408277014922494"/>
                </c:manualLayout>
              </c:layout>
              <c:tx>
                <c:rich>
                  <a:bodyPr/>
                  <a:lstStyle/>
                  <a:p>
                    <a:r>
                      <a:rPr lang="en-US"/>
                      <a:t>Federal Grants &amp; Contracts
$145,564,500, 9%</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813-4855-935F-BF358C2AC979}"/>
                </c:ext>
                <c:ext xmlns:c15="http://schemas.microsoft.com/office/drawing/2012/chart" uri="{CE6537A1-D6FC-4f65-9D91-7224C49458BB}"/>
              </c:extLst>
            </c:dLbl>
            <c:dLbl>
              <c:idx val="7"/>
              <c:layout>
                <c:manualLayout>
                  <c:x val="0.11468352947156028"/>
                  <c:y val="-0.11395543423737857"/>
                </c:manualLayout>
              </c:layout>
              <c:tx>
                <c:rich>
                  <a:bodyPr/>
                  <a:lstStyle/>
                  <a:p>
                    <a:r>
                      <a:rPr lang="en-US"/>
                      <a:t>Endowment &amp; Interest Income
$26,827,258, 2%</a:t>
                    </a: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813-4855-935F-BF358C2AC979}"/>
                </c:ext>
                <c:ext xmlns:c15="http://schemas.microsoft.com/office/drawing/2012/chart" uri="{CE6537A1-D6FC-4f65-9D91-7224C49458BB}"/>
              </c:extLst>
            </c:dLbl>
            <c:dLbl>
              <c:idx val="8"/>
              <c:layout>
                <c:manualLayout>
                  <c:x val="0.13776656173633559"/>
                  <c:y val="5.3792286982122031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813-4855-935F-BF358C2AC979}"/>
                </c:ext>
                <c:ext xmlns:c15="http://schemas.microsoft.com/office/drawing/2012/chart" uri="{CE6537A1-D6FC-4f65-9D91-7224C49458BB}"/>
              </c:extLst>
            </c:dLbl>
            <c:dLbl>
              <c:idx val="9"/>
              <c:layout>
                <c:manualLayout>
                  <c:x val="0.11887872354944994"/>
                  <c:y val="0.1054888546452075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813-4855-935F-BF358C2AC979}"/>
                </c:ext>
                <c:ext xmlns:c15="http://schemas.microsoft.com/office/drawing/2012/chart" uri="{CE6537A1-D6FC-4f65-9D91-7224C49458BB}"/>
              </c:extLst>
            </c:dLbl>
            <c:dLbl>
              <c:idx val="10"/>
              <c:layout>
                <c:manualLayout>
                  <c:x val="8.6119599754784934E-2"/>
                  <c:y val="0.186282816275825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813-4855-935F-BF358C2AC979}"/>
                </c:ext>
                <c:ext xmlns:c15="http://schemas.microsoft.com/office/drawing/2012/chart" uri="{CE6537A1-D6FC-4f65-9D91-7224C49458BB}"/>
              </c:extLst>
            </c:dLbl>
            <c:dLbl>
              <c:idx val="11"/>
              <c:layout>
                <c:manualLayout>
                  <c:x val="-3.992372099063142E-2"/>
                  <c:y val="0.2024233627014050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C813-4855-935F-BF358C2AC979}"/>
                </c:ext>
                <c:ext xmlns:c15="http://schemas.microsoft.com/office/drawing/2012/chart" uri="{CE6537A1-D6FC-4f65-9D91-7224C49458BB}"/>
              </c:extLst>
            </c:dLbl>
            <c:dLbl>
              <c:idx val="12"/>
              <c:layout>
                <c:manualLayout>
                  <c:x val="-0.17801293899922416"/>
                  <c:y val="0.2035801407523692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C813-4855-935F-BF358C2AC979}"/>
                </c:ext>
                <c:ext xmlns:c15="http://schemas.microsoft.com/office/drawing/2012/chart" uri="{CE6537A1-D6FC-4f65-9D91-7224C49458BB}"/>
              </c:extLst>
            </c:dLbl>
            <c:dLbl>
              <c:idx val="13"/>
              <c:layout>
                <c:manualLayout>
                  <c:x val="-0.30601387185349799"/>
                  <c:y val="0.1394089171268788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9-C813-4855-935F-BF358C2AC979}"/>
                </c:ext>
                <c:ext xmlns:c15="http://schemas.microsoft.com/office/drawing/2012/chart" uri="{CE6537A1-D6FC-4f65-9D91-7224C49458BB}"/>
              </c:extLst>
            </c:dLbl>
            <c:dLbl>
              <c:idx val="14"/>
              <c:layout>
                <c:manualLayout>
                  <c:x val="-9.9260957180796264E-2"/>
                  <c:y val="-3.864894224961723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B-C813-4855-935F-BF358C2AC97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'MBG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'MBG Chts'!$D$53:$D$67</c:f>
              <c:numCache>
                <c:formatCode>"$"#,##0</c:formatCode>
                <c:ptCount val="15"/>
                <c:pt idx="0">
                  <c:v>369420210</c:v>
                </c:pt>
                <c:pt idx="1">
                  <c:v>10962890</c:v>
                </c:pt>
                <c:pt idx="3">
                  <c:v>0</c:v>
                </c:pt>
                <c:pt idx="4">
                  <c:v>0</c:v>
                </c:pt>
                <c:pt idx="5">
                  <c:v>41368962</c:v>
                </c:pt>
                <c:pt idx="6">
                  <c:v>129743832</c:v>
                </c:pt>
                <c:pt idx="7">
                  <c:v>60349285</c:v>
                </c:pt>
                <c:pt idx="8">
                  <c:v>1046267</c:v>
                </c:pt>
                <c:pt idx="9">
                  <c:v>133522299</c:v>
                </c:pt>
                <c:pt idx="10">
                  <c:v>13451815</c:v>
                </c:pt>
                <c:pt idx="11">
                  <c:v>12933001</c:v>
                </c:pt>
                <c:pt idx="12">
                  <c:v>55954790</c:v>
                </c:pt>
                <c:pt idx="13">
                  <c:v>199548093</c:v>
                </c:pt>
                <c:pt idx="14">
                  <c:v>1194433196</c:v>
                </c:pt>
              </c:numCache>
            </c:numRef>
          </c:val>
          <c:extLst xmlns:c16r2="http://schemas.microsoft.com/office/drawing/2015/06/chart">
            <c:ext xmlns:c16="http://schemas.microsoft.com/office/drawing/2014/chart" uri="{C3380CC4-5D6E-409C-BE32-E72D297353CC}">
              <c16:uniqueId val="{0000001D-C813-4855-935F-BF358C2AC979}"/>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691273778103517"/>
          <c:y val="6.7848416870273124E-3"/>
        </c:manualLayout>
      </c:layout>
      <c:overlay val="0"/>
      <c:spPr>
        <a:noFill/>
        <a:ln w="25400">
          <a:noFill/>
        </a:ln>
      </c:spPr>
    </c:title>
    <c:autoTitleDeleted val="0"/>
    <c:plotArea>
      <c:layout>
        <c:manualLayout>
          <c:layoutTarget val="inner"/>
          <c:xMode val="edge"/>
          <c:yMode val="edge"/>
          <c:x val="0.39110536543350038"/>
          <c:y val="0.33365096481083362"/>
          <c:w val="0.21752245191942945"/>
          <c:h val="0.34885047126679003"/>
        </c:manualLayout>
      </c:layout>
      <c:pieChart>
        <c:varyColors val="1"/>
        <c:ser>
          <c:idx val="0"/>
          <c:order val="0"/>
          <c:tx>
            <c:strRef>
              <c:f>'MBG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79D-4F1B-BF4C-16B094FF823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79D-4F1B-BF4C-16B094FF823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79D-4F1B-BF4C-16B094FF823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79D-4F1B-BF4C-16B094FF823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79D-4F1B-BF4C-16B094FF823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79D-4F1B-BF4C-16B094FF823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79D-4F1B-BF4C-16B094FF823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79D-4F1B-BF4C-16B094FF823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79D-4F1B-BF4C-16B094FF823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79D-4F1B-BF4C-16B094FF823F}"/>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79D-4F1B-BF4C-16B094FF823F}"/>
              </c:ext>
            </c:extLst>
          </c:dPt>
          <c:dLbls>
            <c:dLbl>
              <c:idx val="0"/>
              <c:layout>
                <c:manualLayout>
                  <c:x val="0.24433915670033152"/>
                  <c:y val="0.145316959731401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6-979D-4F1B-BF4C-16B094FF823F}"/>
                </c:ext>
                <c:ext xmlns:c15="http://schemas.microsoft.com/office/drawing/2012/chart" uri="{CE6537A1-D6FC-4f65-9D91-7224C49458BB}"/>
              </c:extLst>
            </c:dLbl>
            <c:dLbl>
              <c:idx val="1"/>
              <c:layout>
                <c:manualLayout>
                  <c:x val="0.1626441636623833"/>
                  <c:y val="0.283925178715435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79D-4F1B-BF4C-16B094FF823F}"/>
                </c:ext>
                <c:ext xmlns:c15="http://schemas.microsoft.com/office/drawing/2012/chart" uri="{CE6537A1-D6FC-4f65-9D91-7224C49458BB}"/>
              </c:extLst>
            </c:dLbl>
            <c:dLbl>
              <c:idx val="2"/>
              <c:layout>
                <c:manualLayout>
                  <c:x val="2.9975824510990619E-2"/>
                  <c:y val="0.333601732666808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79D-4F1B-BF4C-16B094FF823F}"/>
                </c:ext>
                <c:ext xmlns:c15="http://schemas.microsoft.com/office/drawing/2012/chart" uri="{CE6537A1-D6FC-4f65-9D91-7224C49458BB}"/>
              </c:extLst>
            </c:dLbl>
            <c:dLbl>
              <c:idx val="3"/>
              <c:layout>
                <c:manualLayout>
                  <c:x val="-0.12458229348021929"/>
                  <c:y val="0.350064024424339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79D-4F1B-BF4C-16B094FF823F}"/>
                </c:ext>
                <c:ext xmlns:c15="http://schemas.microsoft.com/office/drawing/2012/chart" uri="{CE6537A1-D6FC-4f65-9D91-7224C49458BB}"/>
              </c:extLst>
            </c:dLbl>
            <c:dLbl>
              <c:idx val="4"/>
              <c:layout>
                <c:manualLayout>
                  <c:x val="-0.18512138783438439"/>
                  <c:y val="0.251238706414619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979D-4F1B-BF4C-16B094FF823F}"/>
                </c:ext>
                <c:ext xmlns:c15="http://schemas.microsoft.com/office/drawing/2012/chart" uri="{CE6537A1-D6FC-4f65-9D91-7224C49458BB}"/>
              </c:extLst>
            </c:dLbl>
            <c:dLbl>
              <c:idx val="5"/>
              <c:layout>
                <c:manualLayout>
                  <c:x val="-0.17357777428356169"/>
                  <c:y val="0.164172478879084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79D-4F1B-BF4C-16B094FF823F}"/>
                </c:ext>
                <c:ext xmlns:c15="http://schemas.microsoft.com/office/drawing/2012/chart" uri="{CE6537A1-D6FC-4f65-9D91-7224C49458BB}"/>
              </c:extLst>
            </c:dLbl>
            <c:dLbl>
              <c:idx val="6"/>
              <c:layout>
                <c:manualLayout>
                  <c:x val="-0.16899166307214195"/>
                  <c:y val="7.37237673822739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79D-4F1B-BF4C-16B094FF823F}"/>
                </c:ext>
                <c:ext xmlns:c15="http://schemas.microsoft.com/office/drawing/2012/chart" uri="{CE6537A1-D6FC-4f65-9D91-7224C49458BB}"/>
              </c:extLst>
            </c:dLbl>
            <c:dLbl>
              <c:idx val="7"/>
              <c:layout>
                <c:manualLayout>
                  <c:x val="-0.192661217395623"/>
                  <c:y val="-4.71078107933810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79D-4F1B-BF4C-16B094FF823F}"/>
                </c:ext>
                <c:ext xmlns:c15="http://schemas.microsoft.com/office/drawing/2012/chart" uri="{CE6537A1-D6FC-4f65-9D91-7224C49458BB}"/>
              </c:extLst>
            </c:dLbl>
            <c:dLbl>
              <c:idx val="8"/>
              <c:layout>
                <c:manualLayout>
                  <c:x val="-0.13617007442775025"/>
                  <c:y val="-0.1921100847321784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979D-4F1B-BF4C-16B094FF823F}"/>
                </c:ext>
                <c:ext xmlns:c15="http://schemas.microsoft.com/office/drawing/2012/chart" uri="{CE6537A1-D6FC-4f65-9D91-7224C49458BB}"/>
              </c:extLst>
            </c:dLbl>
            <c:dLbl>
              <c:idx val="9"/>
              <c:layout>
                <c:manualLayout>
                  <c:x val="-1.6214268362808437E-2"/>
                  <c:y val="-0.2386577983053564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79D-4F1B-BF4C-16B094FF823F}"/>
                </c:ext>
                <c:ext xmlns:c15="http://schemas.microsoft.com/office/drawing/2012/chart" uri="{CE6537A1-D6FC-4f65-9D91-7224C49458BB}"/>
              </c:extLst>
            </c:dLbl>
            <c:dLbl>
              <c:idx val="10"/>
              <c:layout>
                <c:manualLayout>
                  <c:x val="0.13879575981618023"/>
                  <c:y val="-0.216307185522341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79D-4F1B-BF4C-16B094FF823F}"/>
                </c:ext>
                <c:ext xmlns:c15="http://schemas.microsoft.com/office/drawing/2012/chart" uri="{CE6537A1-D6FC-4f65-9D91-7224C49458BB}"/>
              </c:extLst>
            </c:dLbl>
            <c:dLbl>
              <c:idx val="11"/>
              <c:layout>
                <c:manualLayout>
                  <c:x val="8.2762213825361919E-2"/>
                  <c:y val="2.552108387371747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79D-4F1B-BF4C-16B094FF823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'MBG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'MBG Chts'!$D$102:$D$113</c:f>
              <c:numCache>
                <c:formatCode>_("$"* #,##0_);_("$"* \(#,##0\);_("$"* "-"_);_(@_)</c:formatCode>
                <c:ptCount val="12"/>
                <c:pt idx="0">
                  <c:v>337210597</c:v>
                </c:pt>
                <c:pt idx="1">
                  <c:v>110635770</c:v>
                </c:pt>
                <c:pt idx="2">
                  <c:v>18195325</c:v>
                </c:pt>
                <c:pt idx="3">
                  <c:v>35259763</c:v>
                </c:pt>
                <c:pt idx="4">
                  <c:v>6718483</c:v>
                </c:pt>
                <c:pt idx="5">
                  <c:v>87090538</c:v>
                </c:pt>
                <c:pt idx="6">
                  <c:v>59056075</c:v>
                </c:pt>
                <c:pt idx="7">
                  <c:v>8013307</c:v>
                </c:pt>
                <c:pt idx="8">
                  <c:v>11935905</c:v>
                </c:pt>
                <c:pt idx="9">
                  <c:v>18641466</c:v>
                </c:pt>
                <c:pt idx="10">
                  <c:v>4064781</c:v>
                </c:pt>
                <c:pt idx="11">
                  <c:v>1289997415</c:v>
                </c:pt>
              </c:numCache>
            </c:numRef>
          </c:val>
          <c:extLst xmlns:c16r2="http://schemas.microsoft.com/office/drawing/2015/06/chart">
            <c:ext xmlns:c16="http://schemas.microsoft.com/office/drawing/2014/chart" uri="{C3380CC4-5D6E-409C-BE32-E72D297353CC}">
              <c16:uniqueId val="{00000017-979D-4F1B-BF4C-16B094FF823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10</xdr:col>
      <xdr:colOff>403411</xdr:colOff>
      <xdr:row>1</xdr:row>
      <xdr:rowOff>56030</xdr:rowOff>
    </xdr:from>
    <xdr:to>
      <xdr:col>14</xdr:col>
      <xdr:colOff>515469</xdr:colOff>
      <xdr:row>6</xdr:row>
      <xdr:rowOff>100853</xdr:rowOff>
    </xdr:to>
    <xdr:sp macro="" textlink="">
      <xdr:nvSpPr>
        <xdr:cNvPr id="3" name="TextBox 2"/>
        <xdr:cNvSpPr txBox="1"/>
      </xdr:nvSpPr>
      <xdr:spPr>
        <a:xfrm>
          <a:off x="7743264" y="224118"/>
          <a:ext cx="3339352" cy="8292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Currently HRIs are not included in the Almanac Publication.  Retain this tab for possible future use.            Professional Fee and H&amp; C revenue columns are not added below.</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45</xdr:row>
      <xdr:rowOff>146538</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15876</xdr:colOff>
      <xdr:row>94</xdr:row>
      <xdr:rowOff>155575</xdr:rowOff>
    </xdr:from>
    <xdr:to>
      <xdr:col>0</xdr:col>
      <xdr:colOff>10537338</xdr:colOff>
      <xdr:row>134</xdr:row>
      <xdr:rowOff>146050</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46</xdr:row>
      <xdr:rowOff>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133351</xdr:rowOff>
    </xdr:from>
    <xdr:to>
      <xdr:col>1</xdr:col>
      <xdr:colOff>0</xdr:colOff>
      <xdr:row>91</xdr:row>
      <xdr:rowOff>19051</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145806</xdr:rowOff>
    </xdr:from>
    <xdr:to>
      <xdr:col>1</xdr:col>
      <xdr:colOff>0</xdr:colOff>
      <xdr:row>134</xdr:row>
      <xdr:rowOff>136282</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129686</xdr:rowOff>
    </xdr:from>
    <xdr:to>
      <xdr:col>1</xdr:col>
      <xdr:colOff>0</xdr:colOff>
      <xdr:row>46</xdr:row>
      <xdr:rowOff>0</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29307</xdr:colOff>
      <xdr:row>95</xdr:row>
      <xdr:rowOff>57882</xdr:rowOff>
    </xdr:from>
    <xdr:to>
      <xdr:col>1</xdr:col>
      <xdr:colOff>0</xdr:colOff>
      <xdr:row>135</xdr:row>
      <xdr:rowOff>48357</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45</xdr:row>
      <xdr:rowOff>131885</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48358</xdr:colOff>
      <xdr:row>95</xdr:row>
      <xdr:rowOff>101843</xdr:rowOff>
    </xdr:from>
    <xdr:to>
      <xdr:col>1</xdr:col>
      <xdr:colOff>1</xdr:colOff>
      <xdr:row>135</xdr:row>
      <xdr:rowOff>92318</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35</xdr:row>
      <xdr:rowOff>28575</xdr:rowOff>
    </xdr:from>
    <xdr:ext cx="76200" cy="200025"/>
    <xdr:sp macro="" textlink="">
      <xdr:nvSpPr>
        <xdr:cNvPr id="5" name="Text Box 28"/>
        <xdr:cNvSpPr txBox="1">
          <a:spLocks noChangeArrowheads="1"/>
        </xdr:cNvSpPr>
      </xdr:nvSpPr>
      <xdr:spPr bwMode="auto">
        <a:xfrm>
          <a:off x="12058650" y="6562725"/>
          <a:ext cx="76200" cy="200025"/>
        </a:xfrm>
        <a:prstGeom prst="rect">
          <a:avLst/>
        </a:prstGeom>
        <a:noFill/>
        <a:ln w="9525" algn="ctr">
          <a:noFill/>
          <a:miter lim="800000"/>
          <a:headEnd/>
          <a:tailEnd/>
        </a:ln>
        <a:effec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17829</xdr:colOff>
      <xdr:row>95</xdr:row>
      <xdr:rowOff>32239</xdr:rowOff>
    </xdr:from>
    <xdr:to>
      <xdr:col>0</xdr:col>
      <xdr:colOff>10497038</xdr:colOff>
      <xdr:row>135</xdr:row>
      <xdr:rowOff>20273</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118696</xdr:rowOff>
    </xdr:from>
    <xdr:to>
      <xdr:col>1</xdr:col>
      <xdr:colOff>1</xdr:colOff>
      <xdr:row>90</xdr:row>
      <xdr:rowOff>161192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57882</xdr:rowOff>
    </xdr:from>
    <xdr:to>
      <xdr:col>1</xdr:col>
      <xdr:colOff>0</xdr:colOff>
      <xdr:row>135</xdr:row>
      <xdr:rowOff>48357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5" name="Text Box 5"/>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41763</xdr:rowOff>
    </xdr:from>
    <xdr:to>
      <xdr:col>0</xdr:col>
      <xdr:colOff>10550768</xdr:colOff>
      <xdr:row>45</xdr:row>
      <xdr:rowOff>131884</xdr:rowOff>
    </xdr:to>
    <xdr:graphicFrame macro="">
      <xdr:nvGraphicFramePr>
        <xdr:cNvPr id="618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148004</xdr:rowOff>
    </xdr:from>
    <xdr:to>
      <xdr:col>0</xdr:col>
      <xdr:colOff>10550768</xdr:colOff>
      <xdr:row>91</xdr:row>
      <xdr:rowOff>33704</xdr:rowOff>
    </xdr:to>
    <xdr:graphicFrame macro="">
      <xdr:nvGraphicFramePr>
        <xdr:cNvPr id="618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12700</xdr:rowOff>
    </xdr:from>
    <xdr:to>
      <xdr:col>1</xdr:col>
      <xdr:colOff>0</xdr:colOff>
      <xdr:row>135</xdr:row>
      <xdr:rowOff>3175</xdr:rowOff>
    </xdr:to>
    <xdr:graphicFrame macro="">
      <xdr:nvGraphicFramePr>
        <xdr:cNvPr id="618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28574</xdr:colOff>
      <xdr:row>36</xdr:row>
      <xdr:rowOff>100379</xdr:rowOff>
    </xdr:to>
    <xdr:sp macro="" textlink="">
      <xdr:nvSpPr>
        <xdr:cNvPr id="6190"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254482</xdr:colOff>
      <xdr:row>50</xdr:row>
      <xdr:rowOff>35528</xdr:rowOff>
    </xdr:from>
    <xdr:to>
      <xdr:col>20</xdr:col>
      <xdr:colOff>1387837</xdr:colOff>
      <xdr:row>56</xdr:row>
      <xdr:rowOff>139700</xdr:rowOff>
    </xdr:to>
    <xdr:sp macro="" textlink="">
      <xdr:nvSpPr>
        <xdr:cNvPr id="4" name="TextBox 3"/>
        <xdr:cNvSpPr txBox="1"/>
      </xdr:nvSpPr>
      <xdr:spPr>
        <a:xfrm>
          <a:off x="16231082" y="8862028"/>
          <a:ext cx="6048255" cy="1094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All of our waivers, remissions &amp; exemptions are recorded in our E&amp;G fund group therefore Designated and Auxiliary will remain at zero for both tuition and fees as it relates to waivers/remissions/exemptions.  This will keep the Sources and Uses submission in-line with our AFR.  </a:t>
          </a:r>
        </a:p>
        <a:p>
          <a:endParaRPr lang="en-US" sz="1100"/>
        </a:p>
        <a:p>
          <a:r>
            <a:rPr lang="en-US" sz="1100"/>
            <a:t>Chuck Fox email 1-15-2010</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146538</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146539</xdr:rowOff>
    </xdr:from>
    <xdr:to>
      <xdr:col>1</xdr:col>
      <xdr:colOff>14654</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28575</xdr:rowOff>
    </xdr:from>
    <xdr:to>
      <xdr:col>1</xdr:col>
      <xdr:colOff>0</xdr:colOff>
      <xdr:row>135</xdr:row>
      <xdr:rowOff>19050</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85726</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431800</xdr:colOff>
      <xdr:row>51</xdr:row>
      <xdr:rowOff>38100</xdr:rowOff>
    </xdr:from>
    <xdr:to>
      <xdr:col>22</xdr:col>
      <xdr:colOff>495300</xdr:colOff>
      <xdr:row>56</xdr:row>
      <xdr:rowOff>12700</xdr:rowOff>
    </xdr:to>
    <xdr:sp macro="" textlink="">
      <xdr:nvSpPr>
        <xdr:cNvPr id="4" name="TextBox 3"/>
        <xdr:cNvSpPr txBox="1"/>
      </xdr:nvSpPr>
      <xdr:spPr>
        <a:xfrm>
          <a:off x="15354300" y="6350000"/>
          <a:ext cx="850900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Waivers, remissions and exemptions are not broken out in Designated and Auxiliary because waivers, remissions and exemptions are all recorded in the E&amp;G fund group for UTMB.</a:t>
          </a:r>
        </a:p>
        <a:p>
          <a:r>
            <a:rPr lang="en-US" sz="1100"/>
            <a:t>Dana Malone email of 1-15-2010.</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129685</xdr:rowOff>
    </xdr:from>
    <xdr:to>
      <xdr:col>1</xdr:col>
      <xdr:colOff>0</xdr:colOff>
      <xdr:row>45</xdr:row>
      <xdr:rowOff>146539</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43229</xdr:rowOff>
    </xdr:from>
    <xdr:to>
      <xdr:col>0</xdr:col>
      <xdr:colOff>10536115</xdr:colOff>
      <xdr:row>135</xdr:row>
      <xdr:rowOff>33704</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101843</xdr:colOff>
      <xdr:row>36</xdr:row>
      <xdr:rowOff>85725</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45</xdr:row>
      <xdr:rowOff>117231</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73269</xdr:rowOff>
    </xdr:from>
    <xdr:to>
      <xdr:col>1</xdr:col>
      <xdr:colOff>0</xdr:colOff>
      <xdr:row>90</xdr:row>
      <xdr:rowOff>131884</xdr:rowOff>
    </xdr:to>
    <xdr:graphicFrame macro="">
      <xdr:nvGraphicFramePr>
        <xdr:cNvPr id="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160459</xdr:rowOff>
    </xdr:from>
    <xdr:to>
      <xdr:col>1</xdr:col>
      <xdr:colOff>0</xdr:colOff>
      <xdr:row>134</xdr:row>
      <xdr:rowOff>150935</xdr:rowOff>
    </xdr:to>
    <xdr:graphicFrame macro="">
      <xdr:nvGraphicFramePr>
        <xdr:cNvPr id="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13920</xdr:colOff>
      <xdr:row>36</xdr:row>
      <xdr:rowOff>85725</xdr:rowOff>
    </xdr:to>
    <xdr:sp macro="" textlink="">
      <xdr:nvSpPr>
        <xdr:cNvPr id="5" name="Text Box 28"/>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101600</xdr:colOff>
      <xdr:row>49</xdr:row>
      <xdr:rowOff>139700</xdr:rowOff>
    </xdr:from>
    <xdr:to>
      <xdr:col>21</xdr:col>
      <xdr:colOff>76200</xdr:colOff>
      <xdr:row>56</xdr:row>
      <xdr:rowOff>139700</xdr:rowOff>
    </xdr:to>
    <xdr:sp macro="" textlink="">
      <xdr:nvSpPr>
        <xdr:cNvPr id="4" name="TextBox 3"/>
        <xdr:cNvSpPr txBox="1"/>
      </xdr:nvSpPr>
      <xdr:spPr>
        <a:xfrm>
          <a:off x="15011400" y="8801100"/>
          <a:ext cx="75565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Ed, </a:t>
          </a:r>
        </a:p>
        <a:p>
          <a:r>
            <a:rPr lang="en-US" sz="1100">
              <a:solidFill>
                <a:schemeClr val="dk1"/>
              </a:solidFill>
              <a:latin typeface="+mn-lt"/>
              <a:ea typeface="+mn-ea"/>
              <a:cs typeface="+mn-cs"/>
            </a:rPr>
            <a:t>  The report that UTHSCSA sent is correct.  Attached is the email where they confirm that no waivers, remissions and exemptions are broken out in designated because they are all recorded in E&amp;G.  We agree with that statement. </a:t>
          </a:r>
        </a:p>
        <a:p>
          <a:r>
            <a:rPr lang="en-US" sz="1100">
              <a:solidFill>
                <a:schemeClr val="dk1"/>
              </a:solidFill>
              <a:latin typeface="+mn-lt"/>
              <a:ea typeface="+mn-ea"/>
              <a:cs typeface="+mn-cs"/>
            </a:rPr>
            <a:t>  Thank you, </a:t>
          </a:r>
        </a:p>
        <a:p>
          <a:r>
            <a:rPr lang="en-US" sz="1100">
              <a:solidFill>
                <a:schemeClr val="dk1"/>
              </a:solidFill>
              <a:latin typeface="+mn-lt"/>
              <a:ea typeface="+mn-ea"/>
              <a:cs typeface="+mn-cs"/>
            </a:rPr>
            <a:t>Kristen </a:t>
          </a:r>
        </a:p>
        <a:p>
          <a:r>
            <a:rPr lang="en-US" sz="1100"/>
            <a:t>Email</a:t>
          </a:r>
          <a:r>
            <a:rPr lang="en-US" sz="1100" baseline="0"/>
            <a:t> of 1-21-10</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_%20Uses\Univ%20-%20Sources%20&amp;%20Uses%20FY%202015\0%20-%20Univ%20-%20S%20_%20U%20-%20FY%202015%20-%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ul U"/>
      <sheetName val="T&amp;F Summary"/>
      <sheetName val="Univ_IE_Context"/>
      <sheetName val="Univ_IE_Keys"/>
      <sheetName val="Univ Context NA"/>
      <sheetName val="Univ_IE_Keys NA"/>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PeerGroups"/>
      <sheetName val="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ow r="11">
          <cell r="B11" t="str">
            <v>The University of Texas System</v>
          </cell>
          <cell r="C11">
            <v>3655</v>
          </cell>
          <cell r="D11" t="str">
            <v>UTS</v>
          </cell>
          <cell r="E11" t="str">
            <v>S40</v>
          </cell>
          <cell r="F11" t="str">
            <v>S40 - S &amp; U - FY 2016 - UTS.xlsx</v>
          </cell>
        </row>
        <row r="12">
          <cell r="B12" t="str">
            <v>The University of Texas at Arlington</v>
          </cell>
          <cell r="C12">
            <v>3656</v>
          </cell>
          <cell r="D12" t="str">
            <v>ARL</v>
          </cell>
          <cell r="E12">
            <v>40</v>
          </cell>
          <cell r="F12" t="str">
            <v>40 - S &amp; U - FY 2016 - ARL.xlsx</v>
          </cell>
          <cell r="H12">
            <v>10</v>
          </cell>
          <cell r="I12">
            <v>3656</v>
          </cell>
        </row>
        <row r="13">
          <cell r="B13" t="str">
            <v>The University of Texas at Austin -  All Disciplines (A+H+M)</v>
          </cell>
          <cell r="C13">
            <v>3658</v>
          </cell>
          <cell r="D13" t="str">
            <v>AUS</v>
          </cell>
          <cell r="E13">
            <v>50</v>
          </cell>
          <cell r="F13" t="str">
            <v>50 - S &amp; U - FY 2016 - AUS.xlsx</v>
          </cell>
          <cell r="H13">
            <v>20</v>
          </cell>
        </row>
        <row r="14">
          <cell r="B14" t="str">
            <v>The University of Texas at Austin - Academic &amp; Health (A+H)</v>
          </cell>
          <cell r="C14">
            <v>3658</v>
          </cell>
          <cell r="D14" t="str">
            <v>AUS1</v>
          </cell>
          <cell r="E14">
            <v>51</v>
          </cell>
          <cell r="F14" t="str">
            <v>51 - S &amp; U - FY 2016 - AUS1.xlsx</v>
          </cell>
          <cell r="H14">
            <v>21</v>
          </cell>
          <cell r="I14">
            <v>3658</v>
          </cell>
        </row>
        <row r="15">
          <cell r="B15" t="str">
            <v>The University of Texas at Dallas</v>
          </cell>
          <cell r="C15">
            <v>9741</v>
          </cell>
          <cell r="D15" t="str">
            <v>DAL</v>
          </cell>
          <cell r="E15">
            <v>60</v>
          </cell>
          <cell r="F15" t="str">
            <v>60 - S &amp; U - FY 2016 - DAL.xlsx</v>
          </cell>
          <cell r="H15">
            <v>30</v>
          </cell>
          <cell r="I15">
            <v>9741</v>
          </cell>
        </row>
        <row r="16">
          <cell r="B16" t="str">
            <v>The University of Texas at El Paso</v>
          </cell>
          <cell r="C16">
            <v>3661</v>
          </cell>
          <cell r="D16" t="str">
            <v>E-P</v>
          </cell>
          <cell r="E16">
            <v>70</v>
          </cell>
          <cell r="F16" t="str">
            <v>70 - S &amp; U - FY 2016 - E-P.xlsx</v>
          </cell>
          <cell r="H16">
            <v>40</v>
          </cell>
          <cell r="I16">
            <v>3661</v>
          </cell>
        </row>
        <row r="17">
          <cell r="B17" t="str">
            <v>The University of Texas RGV - All Disciplines (A+H+M)</v>
          </cell>
          <cell r="C17">
            <v>3599</v>
          </cell>
          <cell r="D17" t="str">
            <v>RGV</v>
          </cell>
          <cell r="E17">
            <v>90</v>
          </cell>
          <cell r="F17" t="str">
            <v>90 - S &amp; U - FY 2016 - RGV.xlsx</v>
          </cell>
          <cell r="H17">
            <v>60</v>
          </cell>
        </row>
        <row r="18">
          <cell r="B18" t="str">
            <v>The University of Texas RGV - Academic &amp; Health (A+H)</v>
          </cell>
          <cell r="C18">
            <v>3599</v>
          </cell>
          <cell r="D18" t="str">
            <v>RGV1</v>
          </cell>
          <cell r="E18">
            <v>91</v>
          </cell>
          <cell r="F18" t="str">
            <v>91 - S &amp; U - FY 2016 - RGV1.xlsx</v>
          </cell>
          <cell r="H18">
            <v>61</v>
          </cell>
          <cell r="I18">
            <v>3599</v>
          </cell>
        </row>
        <row r="19">
          <cell r="B19" t="str">
            <v>The University of Texas of the Permian Basin</v>
          </cell>
          <cell r="C19">
            <v>9930</v>
          </cell>
          <cell r="D19" t="str">
            <v>P-B</v>
          </cell>
          <cell r="E19">
            <v>100</v>
          </cell>
          <cell r="F19" t="str">
            <v>100 - S &amp; U - FY 2016 - P-B.xlsx</v>
          </cell>
          <cell r="H19">
            <v>70</v>
          </cell>
          <cell r="I19">
            <v>9930</v>
          </cell>
        </row>
        <row r="20">
          <cell r="B20" t="str">
            <v>The University of Texas at San Antonio</v>
          </cell>
          <cell r="C20">
            <v>10115</v>
          </cell>
          <cell r="D20" t="str">
            <v>S-A</v>
          </cell>
          <cell r="E20">
            <v>110</v>
          </cell>
          <cell r="F20" t="str">
            <v>110 - S &amp; U - FY 2016 - S-A.xlsx</v>
          </cell>
          <cell r="H20">
            <v>80</v>
          </cell>
          <cell r="I20">
            <v>10115</v>
          </cell>
        </row>
        <row r="21">
          <cell r="B21" t="str">
            <v>The University of Texas at Tyler</v>
          </cell>
          <cell r="C21">
            <v>11163</v>
          </cell>
          <cell r="D21" t="str">
            <v>TYL</v>
          </cell>
          <cell r="E21">
            <v>120</v>
          </cell>
          <cell r="F21" t="str">
            <v>120 - S &amp; U - FY 2016 - TYL.xlsx</v>
          </cell>
          <cell r="H21">
            <v>90</v>
          </cell>
          <cell r="I21">
            <v>11163</v>
          </cell>
        </row>
        <row r="22">
          <cell r="B22" t="str">
            <v>Texas A&amp;M University System</v>
          </cell>
          <cell r="C22">
            <v>3629</v>
          </cell>
          <cell r="D22" t="str">
            <v>TAMUS</v>
          </cell>
          <cell r="E22" t="str">
            <v>S130</v>
          </cell>
          <cell r="F22" t="str">
            <v>S130 - S &amp; U - FY 2016 - TAMUS.xlsx</v>
          </cell>
        </row>
        <row r="23">
          <cell r="B23" t="str">
            <v>Texas A&amp;M University</v>
          </cell>
          <cell r="C23">
            <v>3632</v>
          </cell>
          <cell r="D23" t="str">
            <v>TAMU</v>
          </cell>
          <cell r="E23">
            <v>130</v>
          </cell>
          <cell r="F23" t="str">
            <v>130 - S &amp; U - FY 2016 - TAMU.xlsx</v>
          </cell>
          <cell r="H23">
            <v>100</v>
          </cell>
          <cell r="I23">
            <v>3632</v>
          </cell>
        </row>
        <row r="24">
          <cell r="B24" t="str">
            <v>Texas A&amp;M University at Galveston</v>
          </cell>
          <cell r="C24">
            <v>10298</v>
          </cell>
          <cell r="D24" t="str">
            <v>TAMUG</v>
          </cell>
          <cell r="E24">
            <v>140</v>
          </cell>
          <cell r="F24" t="str">
            <v>140 - S &amp; U - FY 2016 - TAMUG.xlsx</v>
          </cell>
          <cell r="H24">
            <v>110</v>
          </cell>
          <cell r="I24">
            <v>10298</v>
          </cell>
        </row>
        <row r="25">
          <cell r="B25" t="str">
            <v>Prairie View A&amp;M University</v>
          </cell>
          <cell r="C25">
            <v>3630</v>
          </cell>
          <cell r="D25" t="str">
            <v>PVAMU</v>
          </cell>
          <cell r="E25">
            <v>150</v>
          </cell>
          <cell r="F25" t="str">
            <v>150 - S &amp; U - FY 2016 - PVAMU.xlsx</v>
          </cell>
          <cell r="H25">
            <v>120</v>
          </cell>
          <cell r="I25">
            <v>3630</v>
          </cell>
        </row>
        <row r="26">
          <cell r="B26" t="str">
            <v>Tarleton State University</v>
          </cell>
          <cell r="C26">
            <v>3631</v>
          </cell>
          <cell r="D26" t="str">
            <v>TARLST</v>
          </cell>
          <cell r="E26">
            <v>160</v>
          </cell>
          <cell r="F26" t="str">
            <v>160 - S &amp; U - FY 2016 - TARL ST.xlsx</v>
          </cell>
          <cell r="H26">
            <v>130</v>
          </cell>
          <cell r="I26">
            <v>3631</v>
          </cell>
        </row>
        <row r="27">
          <cell r="B27" t="str">
            <v>Texas A&amp;M University - Corpus Christi</v>
          </cell>
          <cell r="C27">
            <v>11161</v>
          </cell>
          <cell r="D27" t="str">
            <v>TAMUCC</v>
          </cell>
          <cell r="E27">
            <v>170</v>
          </cell>
          <cell r="F27" t="str">
            <v>170 - S &amp; U - FY 2016 - TAMUCC.xlsx</v>
          </cell>
          <cell r="G27">
            <v>7424229</v>
          </cell>
          <cell r="H27">
            <v>150</v>
          </cell>
          <cell r="I27">
            <v>11161</v>
          </cell>
          <cell r="K27">
            <v>11136344</v>
          </cell>
        </row>
        <row r="28">
          <cell r="B28" t="str">
            <v>Texas A&amp;M University - Kingsville</v>
          </cell>
          <cell r="C28">
            <v>3639</v>
          </cell>
          <cell r="D28" t="str">
            <v>TAMUK</v>
          </cell>
          <cell r="E28">
            <v>180</v>
          </cell>
          <cell r="F28" t="str">
            <v>180 - S &amp; U - FY 2016 - TAMUK.xlsx</v>
          </cell>
          <cell r="G28">
            <v>5977371</v>
          </cell>
          <cell r="H28">
            <v>160</v>
          </cell>
          <cell r="I28">
            <v>3639</v>
          </cell>
          <cell r="K28">
            <v>8966056</v>
          </cell>
        </row>
        <row r="29">
          <cell r="B29" t="str">
            <v>Texas A&amp;M International University</v>
          </cell>
          <cell r="C29">
            <v>9651</v>
          </cell>
          <cell r="D29" t="str">
            <v>TAMIU</v>
          </cell>
          <cell r="E29">
            <v>190</v>
          </cell>
          <cell r="F29" t="str">
            <v>190 - S &amp; U - FY 2016 - TAMIU.xlsx</v>
          </cell>
          <cell r="G29">
            <v>4473273</v>
          </cell>
          <cell r="H29">
            <v>180</v>
          </cell>
          <cell r="I29">
            <v>9651</v>
          </cell>
          <cell r="K29">
            <v>6709910</v>
          </cell>
        </row>
        <row r="30">
          <cell r="B30" t="str">
            <v>West Texas A&amp;M University</v>
          </cell>
          <cell r="C30">
            <v>3665</v>
          </cell>
          <cell r="D30" t="str">
            <v>WTAMU</v>
          </cell>
          <cell r="E30">
            <v>200</v>
          </cell>
          <cell r="F30" t="str">
            <v>200 - S &amp; U - FY 2016 - WTAMU.xlsx</v>
          </cell>
          <cell r="G30">
            <v>4776272</v>
          </cell>
          <cell r="H30">
            <v>190</v>
          </cell>
          <cell r="I30">
            <v>3665</v>
          </cell>
          <cell r="K30">
            <v>7164408</v>
          </cell>
        </row>
        <row r="31">
          <cell r="B31" t="str">
            <v>Texas A&amp;M University - Commerce</v>
          </cell>
          <cell r="C31">
            <v>3565</v>
          </cell>
          <cell r="D31" t="str">
            <v>TAMUC</v>
          </cell>
          <cell r="E31">
            <v>210</v>
          </cell>
          <cell r="F31" t="str">
            <v>210 - S &amp; U - FY 2016 - TAMUC.xlsx</v>
          </cell>
          <cell r="G31">
            <v>7190875</v>
          </cell>
          <cell r="H31">
            <v>200</v>
          </cell>
          <cell r="I31">
            <v>3565</v>
          </cell>
          <cell r="K31">
            <v>10786313</v>
          </cell>
        </row>
        <row r="32">
          <cell r="B32" t="str">
            <v>Texas A&amp;M University - Texarkana</v>
          </cell>
          <cell r="C32">
            <v>29269</v>
          </cell>
          <cell r="D32" t="str">
            <v>TAMUT</v>
          </cell>
          <cell r="E32">
            <v>220</v>
          </cell>
          <cell r="F32" t="str">
            <v>220 - S &amp; U - FY 2016 - TAMUT.xlsx</v>
          </cell>
          <cell r="G32">
            <v>1215922</v>
          </cell>
          <cell r="H32">
            <v>210</v>
          </cell>
          <cell r="I32">
            <v>29269</v>
          </cell>
          <cell r="K32">
            <v>1823883</v>
          </cell>
        </row>
        <row r="33">
          <cell r="B33" t="str">
            <v>Texas A&amp;M University - Central Texas</v>
          </cell>
          <cell r="C33">
            <v>42295</v>
          </cell>
          <cell r="D33" t="str">
            <v>TAMUCT</v>
          </cell>
          <cell r="E33">
            <v>223</v>
          </cell>
          <cell r="F33" t="str">
            <v>223 - S &amp; U - FY 2016 - TAMUCT.xlsx</v>
          </cell>
          <cell r="H33">
            <v>140</v>
          </cell>
          <cell r="I33">
            <v>42295</v>
          </cell>
        </row>
        <row r="34">
          <cell r="B34" t="str">
            <v>Texas A&amp;M University - San Antonio</v>
          </cell>
          <cell r="C34">
            <v>42485</v>
          </cell>
          <cell r="D34" t="str">
            <v>TAMUSA</v>
          </cell>
          <cell r="E34">
            <v>226</v>
          </cell>
          <cell r="F34" t="str">
            <v>226 - S &amp; U - FY 2016 - TAMUSA.xlsx</v>
          </cell>
          <cell r="H34">
            <v>170</v>
          </cell>
          <cell r="I34">
            <v>42485</v>
          </cell>
        </row>
        <row r="35">
          <cell r="B35" t="str">
            <v>Texas A&amp;M AgriLife Research</v>
          </cell>
          <cell r="C35">
            <v>556</v>
          </cell>
          <cell r="D35" t="str">
            <v>TAR</v>
          </cell>
          <cell r="E35">
            <v>600</v>
          </cell>
          <cell r="F35" t="str">
            <v>600 - S &amp; U - FY 2016 - TAR.xlsx</v>
          </cell>
        </row>
        <row r="36">
          <cell r="B36" t="str">
            <v>Texas A&amp;M AgriLife Extension Service</v>
          </cell>
          <cell r="C36">
            <v>555</v>
          </cell>
          <cell r="D36" t="str">
            <v>TAES</v>
          </cell>
          <cell r="E36">
            <v>605</v>
          </cell>
          <cell r="F36" t="str">
            <v>605 - S &amp; U - FY 2016 - TAES.xlsx</v>
          </cell>
        </row>
        <row r="37">
          <cell r="B37" t="str">
            <v>Texas A&amp;M Engineering Experiment Station</v>
          </cell>
          <cell r="C37">
            <v>712</v>
          </cell>
          <cell r="D37" t="str">
            <v>TEES1</v>
          </cell>
          <cell r="E37">
            <v>610</v>
          </cell>
          <cell r="F37" t="str">
            <v>610 - S &amp; U - FY 2016 - TEES1.xlsx</v>
          </cell>
        </row>
        <row r="38">
          <cell r="B38" t="str">
            <v>Texas A&amp;M Engineering Extension Service</v>
          </cell>
          <cell r="C38">
            <v>716</v>
          </cell>
          <cell r="D38" t="str">
            <v>TEES2</v>
          </cell>
          <cell r="E38">
            <v>615</v>
          </cell>
          <cell r="F38" t="str">
            <v>615 - S &amp; U - FY 2016 - TEES2.xlsx</v>
          </cell>
        </row>
        <row r="39">
          <cell r="B39" t="str">
            <v>Texas A&amp;M Forest Service</v>
          </cell>
          <cell r="C39">
            <v>576</v>
          </cell>
          <cell r="D39" t="str">
            <v>TFS</v>
          </cell>
          <cell r="E39">
            <v>620</v>
          </cell>
          <cell r="F39" t="str">
            <v>620 - S &amp; U - FY 2016 - TFS.xlsx</v>
          </cell>
        </row>
        <row r="40">
          <cell r="B40" t="str">
            <v>Texas A&amp;M Transportation Institute</v>
          </cell>
          <cell r="C40">
            <v>727</v>
          </cell>
          <cell r="D40" t="str">
            <v>TTI</v>
          </cell>
          <cell r="E40">
            <v>625</v>
          </cell>
          <cell r="F40" t="str">
            <v>625 - S &amp; U - FY 2016 - TTI.xlsx</v>
          </cell>
        </row>
        <row r="41">
          <cell r="B41" t="str">
            <v>Texas A&amp;M Vet. Medical Diagnostic Laboratory</v>
          </cell>
          <cell r="C41">
            <v>557</v>
          </cell>
          <cell r="D41" t="str">
            <v>TVMDL</v>
          </cell>
          <cell r="E41">
            <v>630</v>
          </cell>
          <cell r="F41" t="str">
            <v>630 - S &amp; U - FY 2016 - TVMDL.xlsx</v>
          </cell>
        </row>
        <row r="42">
          <cell r="B42" t="str">
            <v>University of Houston System</v>
          </cell>
          <cell r="C42">
            <v>110</v>
          </cell>
          <cell r="D42" t="str">
            <v>UHS</v>
          </cell>
          <cell r="E42" t="str">
            <v>S230</v>
          </cell>
          <cell r="F42" t="str">
            <v>S230 - S &amp; U - FY 2016 - UTS.xlsx</v>
          </cell>
        </row>
        <row r="43">
          <cell r="B43" t="str">
            <v>University of Houston</v>
          </cell>
          <cell r="C43">
            <v>3652</v>
          </cell>
          <cell r="D43" t="str">
            <v>UH</v>
          </cell>
          <cell r="E43">
            <v>230</v>
          </cell>
          <cell r="F43" t="str">
            <v>230 - S &amp; U - FY 2016 - UH.xlsx</v>
          </cell>
          <cell r="G43">
            <v>35180036</v>
          </cell>
          <cell r="H43">
            <v>220</v>
          </cell>
          <cell r="I43">
            <v>3652</v>
          </cell>
          <cell r="K43">
            <v>52770054</v>
          </cell>
        </row>
        <row r="44">
          <cell r="B44" t="str">
            <v>University of Houston - Clear Lake</v>
          </cell>
          <cell r="C44">
            <v>11711</v>
          </cell>
          <cell r="D44" t="str">
            <v>UHCL</v>
          </cell>
          <cell r="E44">
            <v>240</v>
          </cell>
          <cell r="F44" t="str">
            <v>240 - S &amp; U - FY 2016 - UHCL.xlsx</v>
          </cell>
          <cell r="G44">
            <v>5336744</v>
          </cell>
          <cell r="H44">
            <v>230</v>
          </cell>
          <cell r="I44">
            <v>11711</v>
          </cell>
          <cell r="K44">
            <v>8005116</v>
          </cell>
        </row>
        <row r="45">
          <cell r="B45" t="str">
            <v>University of Houston - Downtown</v>
          </cell>
          <cell r="C45">
            <v>12826</v>
          </cell>
          <cell r="D45" t="str">
            <v>UHD</v>
          </cell>
          <cell r="E45">
            <v>250</v>
          </cell>
          <cell r="F45" t="str">
            <v>250 - S &amp; U - FY 2016 - UHD.xlsx</v>
          </cell>
          <cell r="G45">
            <v>7835252</v>
          </cell>
          <cell r="H45">
            <v>240</v>
          </cell>
          <cell r="I45">
            <v>12826</v>
          </cell>
          <cell r="K45">
            <v>11752877</v>
          </cell>
        </row>
        <row r="46">
          <cell r="B46" t="str">
            <v>University of Houston - Victoria</v>
          </cell>
          <cell r="C46">
            <v>13231</v>
          </cell>
          <cell r="D46" t="str">
            <v>UHV</v>
          </cell>
          <cell r="E46">
            <v>260</v>
          </cell>
          <cell r="F46" t="str">
            <v>260 - S &amp; U - FY 2016 - UHV.xlsx</v>
          </cell>
          <cell r="G46">
            <v>2850574</v>
          </cell>
          <cell r="H46">
            <v>250</v>
          </cell>
          <cell r="I46">
            <v>13231</v>
          </cell>
          <cell r="K46">
            <v>4275861</v>
          </cell>
        </row>
        <row r="47">
          <cell r="B47" t="str">
            <v>Texas State System</v>
          </cell>
          <cell r="C47">
            <v>110</v>
          </cell>
          <cell r="D47" t="str">
            <v>TXSTS</v>
          </cell>
          <cell r="E47" t="str">
            <v>S270</v>
          </cell>
          <cell r="F47" t="str">
            <v>S270 - S &amp; U - FY 2016 - TXSTS.xlsx</v>
          </cell>
        </row>
        <row r="48">
          <cell r="B48" t="str">
            <v xml:space="preserve">Lamar University </v>
          </cell>
          <cell r="C48">
            <v>3581</v>
          </cell>
          <cell r="D48" t="str">
            <v>LU</v>
          </cell>
          <cell r="E48">
            <v>270</v>
          </cell>
          <cell r="F48" t="str">
            <v>270 - S &amp; U - FY 2016 - LU.xlsx</v>
          </cell>
          <cell r="G48">
            <v>9401255</v>
          </cell>
          <cell r="H48">
            <v>340</v>
          </cell>
          <cell r="I48">
            <v>3581</v>
          </cell>
          <cell r="K48">
            <v>14101882</v>
          </cell>
        </row>
        <row r="49">
          <cell r="B49" t="str">
            <v>Sam Houston State University</v>
          </cell>
          <cell r="C49">
            <v>3606</v>
          </cell>
          <cell r="D49" t="str">
            <v>SHSU</v>
          </cell>
          <cell r="E49">
            <v>280</v>
          </cell>
          <cell r="F49" t="str">
            <v>280 - S &amp; U - FY 2016 - SHSU.xlsx</v>
          </cell>
          <cell r="G49">
            <v>11553239</v>
          </cell>
          <cell r="H49">
            <v>350</v>
          </cell>
          <cell r="I49">
            <v>3606</v>
          </cell>
          <cell r="K49">
            <v>17329858</v>
          </cell>
        </row>
        <row r="50">
          <cell r="B50" t="str">
            <v>Texas State University</v>
          </cell>
          <cell r="C50">
            <v>3615</v>
          </cell>
          <cell r="D50" t="str">
            <v>TXST</v>
          </cell>
          <cell r="E50">
            <v>290</v>
          </cell>
          <cell r="F50" t="str">
            <v>290 - S &amp; U - FY 2016 - TXST.xlsx</v>
          </cell>
          <cell r="G50">
            <v>24775170</v>
          </cell>
          <cell r="H50">
            <v>360</v>
          </cell>
          <cell r="I50">
            <v>3615</v>
          </cell>
          <cell r="K50">
            <v>37162755</v>
          </cell>
        </row>
        <row r="51">
          <cell r="B51" t="str">
            <v>Sul Ross State University</v>
          </cell>
          <cell r="C51">
            <v>3625</v>
          </cell>
          <cell r="D51" t="str">
            <v>SRSU</v>
          </cell>
          <cell r="E51">
            <v>300</v>
          </cell>
          <cell r="F51" t="str">
            <v>300 - S &amp; U - FY 2016 - SRSU.xlsx</v>
          </cell>
          <cell r="G51">
            <v>1697507</v>
          </cell>
          <cell r="H51">
            <v>370</v>
          </cell>
          <cell r="I51">
            <v>3625</v>
          </cell>
          <cell r="K51">
            <v>2546261</v>
          </cell>
        </row>
        <row r="52">
          <cell r="B52" t="str">
            <v>Texas Tech University System</v>
          </cell>
          <cell r="C52">
            <v>439154</v>
          </cell>
          <cell r="D52" t="str">
            <v>TTUS</v>
          </cell>
          <cell r="E52" t="str">
            <v>S310</v>
          </cell>
          <cell r="F52" t="str">
            <v>S310 - S &amp; U - FY 2016 - TTUS.xlsx</v>
          </cell>
        </row>
        <row r="53">
          <cell r="B53" t="str">
            <v>Texas Tech University</v>
          </cell>
          <cell r="C53">
            <v>3644</v>
          </cell>
          <cell r="D53" t="str">
            <v>TTU</v>
          </cell>
          <cell r="E53">
            <v>310</v>
          </cell>
          <cell r="F53" t="str">
            <v>310 - S &amp; U - FY 2016 - TTU.xlsx</v>
          </cell>
          <cell r="G53">
            <v>32817206</v>
          </cell>
          <cell r="H53">
            <v>310</v>
          </cell>
          <cell r="I53">
            <v>3644</v>
          </cell>
          <cell r="K53">
            <v>49225809</v>
          </cell>
        </row>
        <row r="54">
          <cell r="B54" t="str">
            <v>Angelo State University</v>
          </cell>
          <cell r="C54">
            <v>3541</v>
          </cell>
          <cell r="D54" t="str">
            <v>ASU</v>
          </cell>
          <cell r="E54">
            <v>320</v>
          </cell>
          <cell r="F54" t="str">
            <v>320 - S &amp; U - FY 2016 - ASU.xlsx</v>
          </cell>
          <cell r="G54">
            <v>3546735</v>
          </cell>
          <cell r="H54">
            <v>320</v>
          </cell>
          <cell r="I54">
            <v>3541</v>
          </cell>
          <cell r="K54">
            <v>5320102</v>
          </cell>
        </row>
        <row r="55">
          <cell r="B55" t="str">
            <v>University of North Texas System</v>
          </cell>
          <cell r="C55">
            <v>103594</v>
          </cell>
          <cell r="D55" t="str">
            <v>UNTS</v>
          </cell>
          <cell r="E55" t="str">
            <v>S330</v>
          </cell>
          <cell r="F55" t="str">
            <v>S330 - S &amp; U - FY 2016 - UNTS.xlsx</v>
          </cell>
        </row>
        <row r="56">
          <cell r="B56" t="str">
            <v>University of North Texas</v>
          </cell>
          <cell r="C56">
            <v>3594</v>
          </cell>
          <cell r="D56" t="str">
            <v>UNT</v>
          </cell>
          <cell r="E56">
            <v>330</v>
          </cell>
          <cell r="F56" t="str">
            <v>330 - S &amp; U - FY 2016 - UNT.xlsx</v>
          </cell>
          <cell r="G56">
            <v>25041370</v>
          </cell>
          <cell r="H56">
            <v>270</v>
          </cell>
          <cell r="I56">
            <v>3594</v>
          </cell>
          <cell r="K56">
            <v>37562056</v>
          </cell>
        </row>
        <row r="57">
          <cell r="B57" t="str">
            <v>University of North Texas at Dallas</v>
          </cell>
          <cell r="C57">
            <v>42421</v>
          </cell>
          <cell r="D57" t="str">
            <v>UNTD</v>
          </cell>
          <cell r="E57">
            <v>333</v>
          </cell>
          <cell r="F57" t="str">
            <v>333 - S &amp; U - FY 2016 - UNTD.xlsx</v>
          </cell>
          <cell r="G57">
            <v>1408669</v>
          </cell>
          <cell r="H57">
            <v>280</v>
          </cell>
          <cell r="I57">
            <v>42421</v>
          </cell>
          <cell r="K57">
            <v>2113004</v>
          </cell>
        </row>
        <row r="58">
          <cell r="B58" t="str">
            <v>Midwestern State University</v>
          </cell>
          <cell r="C58">
            <v>3592</v>
          </cell>
          <cell r="D58" t="str">
            <v>MidWST</v>
          </cell>
          <cell r="E58">
            <v>340</v>
          </cell>
          <cell r="F58" t="str">
            <v>340 - S &amp; U - FY 2016 - MidWST.xlsx</v>
          </cell>
          <cell r="G58">
            <v>3374275</v>
          </cell>
          <cell r="H58">
            <v>260</v>
          </cell>
          <cell r="I58">
            <v>3592</v>
          </cell>
          <cell r="K58">
            <v>5061412</v>
          </cell>
        </row>
        <row r="59">
          <cell r="B59" t="str">
            <v>Stephen F. Austin State University</v>
          </cell>
          <cell r="C59">
            <v>3624</v>
          </cell>
          <cell r="D59" t="str">
            <v>SFA</v>
          </cell>
          <cell r="E59">
            <v>350</v>
          </cell>
          <cell r="F59" t="str">
            <v>350 - S &amp; U - FY 2016 - SFA.xlsx</v>
          </cell>
          <cell r="G59">
            <v>7757442</v>
          </cell>
          <cell r="H59">
            <v>290</v>
          </cell>
          <cell r="I59">
            <v>3624</v>
          </cell>
          <cell r="K59">
            <v>11636163</v>
          </cell>
        </row>
        <row r="60">
          <cell r="B60" t="str">
            <v>Texas Southern University</v>
          </cell>
          <cell r="C60">
            <v>3642</v>
          </cell>
          <cell r="D60" t="str">
            <v>TSU</v>
          </cell>
          <cell r="E60">
            <v>360</v>
          </cell>
          <cell r="F60" t="str">
            <v>360 - S &amp; U - FY 2016 - TSU.xlsx</v>
          </cell>
          <cell r="G60">
            <v>7773229</v>
          </cell>
          <cell r="H60">
            <v>300</v>
          </cell>
          <cell r="I60">
            <v>3642</v>
          </cell>
          <cell r="K60">
            <v>11659843</v>
          </cell>
        </row>
        <row r="61">
          <cell r="B61" t="str">
            <v>Texas Woman's University</v>
          </cell>
          <cell r="C61">
            <v>3646</v>
          </cell>
          <cell r="D61" t="str">
            <v>TWU</v>
          </cell>
          <cell r="E61">
            <v>370</v>
          </cell>
          <cell r="F61" t="str">
            <v>370 - S &amp; U - FY 2016 - TWU.xlsx</v>
          </cell>
          <cell r="G61">
            <v>9897706</v>
          </cell>
          <cell r="H61">
            <v>330</v>
          </cell>
          <cell r="I61">
            <v>3646</v>
          </cell>
          <cell r="K61">
            <v>14846558</v>
          </cell>
        </row>
        <row r="62">
          <cell r="B62" t="str">
            <v>Lamar Institute of Technology</v>
          </cell>
          <cell r="C62">
            <v>36273</v>
          </cell>
          <cell r="D62" t="str">
            <v>LIT</v>
          </cell>
          <cell r="E62">
            <v>490</v>
          </cell>
          <cell r="F62" t="str">
            <v>490 - S &amp; U - FY 2016 - LIT.xlsx</v>
          </cell>
          <cell r="G62">
            <v>1720347</v>
          </cell>
          <cell r="H62">
            <v>430</v>
          </cell>
          <cell r="K62">
            <v>2580521</v>
          </cell>
        </row>
        <row r="63">
          <cell r="B63" t="str">
            <v>Lamar State College - Orange</v>
          </cell>
          <cell r="C63">
            <v>23582</v>
          </cell>
          <cell r="D63" t="str">
            <v>LSCO</v>
          </cell>
          <cell r="E63">
            <v>500</v>
          </cell>
          <cell r="F63" t="str">
            <v>500 - S &amp; U - FY 2016 - LSCO.xlsx</v>
          </cell>
          <cell r="G63">
            <v>1129562</v>
          </cell>
          <cell r="H63">
            <v>440</v>
          </cell>
          <cell r="K63">
            <v>1694343</v>
          </cell>
        </row>
        <row r="64">
          <cell r="B64" t="str">
            <v>Lamar State College - Port Arthur</v>
          </cell>
          <cell r="C64">
            <v>23485</v>
          </cell>
          <cell r="D64" t="str">
            <v>LSCPA</v>
          </cell>
          <cell r="E64">
            <v>510</v>
          </cell>
          <cell r="F64" t="str">
            <v>510 - S &amp; U - FY 2016 - LSCPA.xlsx</v>
          </cell>
          <cell r="G64">
            <v>1438523</v>
          </cell>
          <cell r="H64">
            <v>450</v>
          </cell>
          <cell r="K64">
            <v>2157784</v>
          </cell>
        </row>
        <row r="65">
          <cell r="B65" t="str">
            <v>Texas State Technical College - Harlingen</v>
          </cell>
          <cell r="C65">
            <v>9225</v>
          </cell>
          <cell r="D65" t="str">
            <v>TSTCH</v>
          </cell>
          <cell r="E65">
            <v>520</v>
          </cell>
          <cell r="F65" t="str">
            <v>520 - S &amp; U - FY 2016 - TSTCH.xlsx</v>
          </cell>
          <cell r="G65">
            <v>5775000</v>
          </cell>
          <cell r="H65">
            <v>390</v>
          </cell>
          <cell r="K65">
            <v>8662500</v>
          </cell>
        </row>
        <row r="66">
          <cell r="B66" t="str">
            <v>Texas State Technical College - West Texas</v>
          </cell>
          <cell r="C66">
            <v>9932</v>
          </cell>
          <cell r="D66" t="str">
            <v>TSTCWT</v>
          </cell>
          <cell r="E66">
            <v>530</v>
          </cell>
          <cell r="F66" t="str">
            <v>530 - S &amp; U - FY 2016 - TSTCWT.xlsx</v>
          </cell>
          <cell r="H66">
            <v>400</v>
          </cell>
        </row>
        <row r="67">
          <cell r="B67" t="str">
            <v>Texas State Technical College - Marshall</v>
          </cell>
          <cell r="C67">
            <v>33965</v>
          </cell>
          <cell r="D67" t="str">
            <v>TSTCM</v>
          </cell>
          <cell r="E67">
            <v>540</v>
          </cell>
          <cell r="F67" t="str">
            <v>540 - S &amp; U - FY 2016 - TSTCM.xlsx</v>
          </cell>
          <cell r="H67">
            <v>410</v>
          </cell>
        </row>
        <row r="68">
          <cell r="B68" t="str">
            <v>Texas State Technical College - Waco</v>
          </cell>
          <cell r="C68">
            <v>3634</v>
          </cell>
          <cell r="D68" t="str">
            <v>TSTCW</v>
          </cell>
          <cell r="E68">
            <v>550</v>
          </cell>
          <cell r="F68" t="str">
            <v>550 - S &amp; U - FY 2016 - TSTCW.xlsx</v>
          </cell>
          <cell r="H68">
            <v>420</v>
          </cell>
        </row>
        <row r="69">
          <cell r="B69" t="str">
            <v>Texas State Technical College - System</v>
          </cell>
          <cell r="C69">
            <v>9642</v>
          </cell>
          <cell r="D69" t="str">
            <v>TSTCS</v>
          </cell>
          <cell r="E69">
            <v>555</v>
          </cell>
          <cell r="F69" t="str">
            <v>555 - S &amp; U - FY 2016 - TSTCS.xlsx</v>
          </cell>
        </row>
      </sheetData>
      <sheetData sheetId="176"/>
      <sheetData sheetId="177">
        <row r="8">
          <cell r="C8" t="str">
            <v>The University of Texas at Arlington</v>
          </cell>
          <cell r="D8">
            <v>327676</v>
          </cell>
          <cell r="E8">
            <v>316443</v>
          </cell>
          <cell r="F8">
            <v>644119</v>
          </cell>
          <cell r="G8">
            <v>175698</v>
          </cell>
          <cell r="H8">
            <v>14558</v>
          </cell>
          <cell r="I8">
            <v>0</v>
          </cell>
          <cell r="J8">
            <v>0</v>
          </cell>
          <cell r="K8">
            <v>834375</v>
          </cell>
          <cell r="L8">
            <v>29600.16</v>
          </cell>
          <cell r="N8">
            <v>29600.16</v>
          </cell>
          <cell r="P8">
            <v>2632.02</v>
          </cell>
        </row>
        <row r="9">
          <cell r="C9" t="str">
            <v>The University of Texas at Austin - Academic &amp; Health (A+H)</v>
          </cell>
          <cell r="D9">
            <v>595890</v>
          </cell>
          <cell r="E9">
            <v>465160</v>
          </cell>
          <cell r="F9">
            <v>1061050</v>
          </cell>
          <cell r="G9">
            <v>114088</v>
          </cell>
          <cell r="H9">
            <v>83059</v>
          </cell>
          <cell r="I9">
            <v>46354</v>
          </cell>
          <cell r="J9">
            <v>0</v>
          </cell>
          <cell r="K9">
            <v>1304551</v>
          </cell>
          <cell r="L9">
            <v>46667.81</v>
          </cell>
          <cell r="N9">
            <v>46667.81</v>
          </cell>
          <cell r="P9">
            <v>5181.7000000000007</v>
          </cell>
        </row>
        <row r="10">
          <cell r="C10" t="str">
            <v>The University of Texas at Dallas</v>
          </cell>
          <cell r="D10">
            <v>206489</v>
          </cell>
          <cell r="E10">
            <v>207037</v>
          </cell>
          <cell r="F10">
            <v>413526</v>
          </cell>
          <cell r="G10">
            <v>140577</v>
          </cell>
          <cell r="H10">
            <v>17311</v>
          </cell>
          <cell r="I10">
            <v>975</v>
          </cell>
          <cell r="J10">
            <v>0</v>
          </cell>
          <cell r="K10">
            <v>572389</v>
          </cell>
          <cell r="L10">
            <v>20643.919999999998</v>
          </cell>
          <cell r="N10">
            <v>20643.919999999998</v>
          </cell>
          <cell r="P10">
            <v>1929.8600000000001</v>
          </cell>
        </row>
        <row r="11">
          <cell r="C11" t="str">
            <v>The University of Texas at El Paso</v>
          </cell>
          <cell r="D11">
            <v>293495</v>
          </cell>
          <cell r="E11">
            <v>191234</v>
          </cell>
          <cell r="F11">
            <v>484729</v>
          </cell>
          <cell r="G11">
            <v>45379</v>
          </cell>
          <cell r="H11">
            <v>7511</v>
          </cell>
          <cell r="I11">
            <v>2806</v>
          </cell>
          <cell r="J11">
            <v>0</v>
          </cell>
          <cell r="K11">
            <v>540425</v>
          </cell>
          <cell r="L11">
            <v>18582.62</v>
          </cell>
          <cell r="N11">
            <v>18582.62</v>
          </cell>
          <cell r="P11">
            <v>1649.97</v>
          </cell>
        </row>
        <row r="12">
          <cell r="C12" t="str">
            <v>The University of Texas RGV - Academic &amp; Health (A+H)</v>
          </cell>
          <cell r="D12">
            <v>363584</v>
          </cell>
          <cell r="E12">
            <v>253328</v>
          </cell>
          <cell r="F12">
            <v>616912</v>
          </cell>
          <cell r="G12">
            <v>60643</v>
          </cell>
          <cell r="H12">
            <v>3155</v>
          </cell>
          <cell r="I12">
            <v>0</v>
          </cell>
          <cell r="J12">
            <v>0</v>
          </cell>
          <cell r="K12">
            <v>680710</v>
          </cell>
          <cell r="L12">
            <v>23265.8</v>
          </cell>
          <cell r="N12">
            <v>23265.8</v>
          </cell>
          <cell r="P12">
            <v>1602.44</v>
          </cell>
        </row>
        <row r="13">
          <cell r="C13" t="str">
            <v>The University of Texas of the Permian Basin</v>
          </cell>
          <cell r="D13">
            <v>63726</v>
          </cell>
          <cell r="E13">
            <v>44609</v>
          </cell>
          <cell r="F13">
            <v>108335</v>
          </cell>
          <cell r="G13">
            <v>10267</v>
          </cell>
          <cell r="H13">
            <v>0</v>
          </cell>
          <cell r="I13">
            <v>0</v>
          </cell>
          <cell r="J13">
            <v>0</v>
          </cell>
          <cell r="K13">
            <v>118602</v>
          </cell>
          <cell r="L13">
            <v>4038.96</v>
          </cell>
          <cell r="N13">
            <v>4038.96</v>
          </cell>
          <cell r="P13">
            <v>327.91</v>
          </cell>
        </row>
        <row r="14">
          <cell r="C14" t="str">
            <v>The University of Texas at San Antonio</v>
          </cell>
          <cell r="D14">
            <v>389400</v>
          </cell>
          <cell r="E14">
            <v>241037</v>
          </cell>
          <cell r="F14">
            <v>630437</v>
          </cell>
          <cell r="G14">
            <v>55220</v>
          </cell>
          <cell r="H14">
            <v>10860</v>
          </cell>
          <cell r="I14">
            <v>0</v>
          </cell>
          <cell r="J14">
            <v>0</v>
          </cell>
          <cell r="K14">
            <v>696517</v>
          </cell>
          <cell r="L14">
            <v>23918.73</v>
          </cell>
          <cell r="N14">
            <v>23918.73</v>
          </cell>
          <cell r="P14">
            <v>2188.8199999999997</v>
          </cell>
        </row>
        <row r="15">
          <cell r="C15" t="str">
            <v>The University of Texas at Tyler</v>
          </cell>
          <cell r="D15">
            <v>69036</v>
          </cell>
          <cell r="E15">
            <v>85921</v>
          </cell>
          <cell r="F15">
            <v>154957</v>
          </cell>
          <cell r="G15">
            <v>38661</v>
          </cell>
          <cell r="H15">
            <v>1530</v>
          </cell>
          <cell r="I15">
            <v>0</v>
          </cell>
          <cell r="J15">
            <v>0</v>
          </cell>
          <cell r="K15">
            <v>195148</v>
          </cell>
          <cell r="L15">
            <v>6861.11</v>
          </cell>
          <cell r="N15">
            <v>6861.11</v>
          </cell>
          <cell r="P15">
            <v>677.94</v>
          </cell>
        </row>
        <row r="16">
          <cell r="C16" t="str">
            <v>Texas A&amp;M University</v>
          </cell>
          <cell r="D16">
            <v>714095</v>
          </cell>
          <cell r="E16">
            <v>542364</v>
          </cell>
          <cell r="F16">
            <v>1256459</v>
          </cell>
          <cell r="G16">
            <v>134090</v>
          </cell>
          <cell r="H16">
            <v>75378</v>
          </cell>
          <cell r="I16">
            <v>15779</v>
          </cell>
          <cell r="J16">
            <v>0</v>
          </cell>
          <cell r="K16">
            <v>1481706</v>
          </cell>
          <cell r="L16">
            <v>52314.18</v>
          </cell>
          <cell r="N16">
            <v>52314.18</v>
          </cell>
          <cell r="P16">
            <v>4866.93</v>
          </cell>
        </row>
        <row r="17">
          <cell r="C17" t="str">
            <v>Texas A&amp;M University at Galveston</v>
          </cell>
          <cell r="D17">
            <v>37386</v>
          </cell>
          <cell r="E17">
            <v>24116</v>
          </cell>
          <cell r="F17">
            <v>61502</v>
          </cell>
          <cell r="G17">
            <v>1944</v>
          </cell>
          <cell r="H17">
            <v>478</v>
          </cell>
          <cell r="I17">
            <v>0</v>
          </cell>
          <cell r="J17">
            <v>0</v>
          </cell>
          <cell r="K17">
            <v>63924</v>
          </cell>
          <cell r="L17">
            <v>2157.62</v>
          </cell>
          <cell r="N17">
            <v>2157.62</v>
          </cell>
          <cell r="P17">
            <v>266.89999999999998</v>
          </cell>
        </row>
        <row r="18">
          <cell r="C18" t="str">
            <v>Prairie View A&amp;M University</v>
          </cell>
          <cell r="D18" t="str">
            <v>Texas State</v>
          </cell>
          <cell r="E18">
            <v>51725</v>
          </cell>
          <cell r="F18">
            <v>192152</v>
          </cell>
          <cell r="G18">
            <v>20523</v>
          </cell>
          <cell r="H18">
            <v>2524</v>
          </cell>
          <cell r="I18">
            <v>0</v>
          </cell>
          <cell r="J18">
            <v>0</v>
          </cell>
          <cell r="K18">
            <v>215199</v>
          </cell>
          <cell r="L18">
            <v>7400.41</v>
          </cell>
          <cell r="N18">
            <v>7400.41</v>
          </cell>
          <cell r="P18">
            <v>766.94</v>
          </cell>
        </row>
        <row r="19">
          <cell r="C19" t="str">
            <v>Tarleton State University</v>
          </cell>
          <cell r="D19">
            <v>149711</v>
          </cell>
          <cell r="E19">
            <v>127220</v>
          </cell>
          <cell r="F19">
            <v>276931</v>
          </cell>
          <cell r="G19">
            <v>22037</v>
          </cell>
          <cell r="H19">
            <v>1770</v>
          </cell>
          <cell r="I19">
            <v>0</v>
          </cell>
          <cell r="J19">
            <v>0</v>
          </cell>
          <cell r="K19">
            <v>300738</v>
          </cell>
          <cell r="L19">
            <v>10247.58</v>
          </cell>
          <cell r="N19">
            <v>10247.58</v>
          </cell>
          <cell r="P19">
            <v>994.8</v>
          </cell>
        </row>
        <row r="20">
          <cell r="C20" t="str">
            <v>Texas A&amp;M University - Corpus Christi</v>
          </cell>
          <cell r="D20">
            <v>152755</v>
          </cell>
          <cell r="E20">
            <v>88718</v>
          </cell>
          <cell r="F20">
            <v>241473</v>
          </cell>
          <cell r="G20">
            <v>28817</v>
          </cell>
          <cell r="H20">
            <v>2935</v>
          </cell>
          <cell r="I20">
            <v>0</v>
          </cell>
          <cell r="J20">
            <v>0</v>
          </cell>
          <cell r="K20">
            <v>273225</v>
          </cell>
          <cell r="L20">
            <v>9412.86</v>
          </cell>
          <cell r="N20">
            <v>9412.86</v>
          </cell>
          <cell r="P20">
            <v>834.08999999999992</v>
          </cell>
        </row>
        <row r="21">
          <cell r="C21" t="str">
            <v>Texas A&amp;M University - Kingsville</v>
          </cell>
          <cell r="D21">
            <v>105476</v>
          </cell>
          <cell r="E21">
            <v>57342</v>
          </cell>
          <cell r="F21">
            <v>162818</v>
          </cell>
          <cell r="G21">
            <v>51349</v>
          </cell>
          <cell r="H21">
            <v>3133</v>
          </cell>
          <cell r="I21">
            <v>0</v>
          </cell>
          <cell r="J21">
            <v>0</v>
          </cell>
          <cell r="K21">
            <v>217300</v>
          </cell>
          <cell r="L21">
            <v>7740.86</v>
          </cell>
          <cell r="N21">
            <v>7740.86</v>
          </cell>
          <cell r="P21">
            <v>733.52</v>
          </cell>
        </row>
        <row r="22">
          <cell r="C22" t="str">
            <v>Texas A&amp;M International University</v>
          </cell>
          <cell r="D22">
            <v>93793</v>
          </cell>
          <cell r="E22">
            <v>62798</v>
          </cell>
          <cell r="F22">
            <v>156591</v>
          </cell>
          <cell r="G22">
            <v>13405</v>
          </cell>
          <cell r="H22">
            <v>299</v>
          </cell>
          <cell r="I22">
            <v>0</v>
          </cell>
          <cell r="J22">
            <v>0</v>
          </cell>
          <cell r="K22">
            <v>170295</v>
          </cell>
          <cell r="L22">
            <v>5794.85</v>
          </cell>
          <cell r="N22">
            <v>5794.85</v>
          </cell>
          <cell r="P22">
            <v>450.2</v>
          </cell>
        </row>
        <row r="23">
          <cell r="C23" t="str">
            <v>West Texas A&amp;M University</v>
          </cell>
          <cell r="D23">
            <v>108883</v>
          </cell>
          <cell r="E23">
            <v>81192</v>
          </cell>
          <cell r="F23">
            <v>190075</v>
          </cell>
          <cell r="G23">
            <v>35295</v>
          </cell>
          <cell r="H23">
            <v>145</v>
          </cell>
          <cell r="I23">
            <v>0</v>
          </cell>
          <cell r="J23">
            <v>0</v>
          </cell>
          <cell r="K23">
            <v>225515</v>
          </cell>
          <cell r="L23">
            <v>7814.51</v>
          </cell>
          <cell r="N23">
            <v>7814.51</v>
          </cell>
          <cell r="P23">
            <v>683.84</v>
          </cell>
        </row>
        <row r="24">
          <cell r="C24" t="str">
            <v>Texas A&amp;M University - Commerce</v>
          </cell>
          <cell r="D24">
            <v>97774</v>
          </cell>
          <cell r="E24">
            <v>88687</v>
          </cell>
          <cell r="F24">
            <v>186461</v>
          </cell>
          <cell r="G24">
            <v>76053</v>
          </cell>
          <cell r="H24">
            <v>7776</v>
          </cell>
          <cell r="I24">
            <v>0</v>
          </cell>
          <cell r="J24">
            <v>0</v>
          </cell>
          <cell r="K24">
            <v>270290</v>
          </cell>
          <cell r="L24">
            <v>9816.24</v>
          </cell>
          <cell r="N24">
            <v>9816.24</v>
          </cell>
          <cell r="P24">
            <v>866.42</v>
          </cell>
        </row>
        <row r="25">
          <cell r="C25" t="str">
            <v>Texas A&amp;M University - Texarkana</v>
          </cell>
          <cell r="D25">
            <v>15526</v>
          </cell>
          <cell r="E25">
            <v>19846</v>
          </cell>
          <cell r="F25">
            <v>35372</v>
          </cell>
          <cell r="G25">
            <v>6232</v>
          </cell>
          <cell r="H25">
            <v>150</v>
          </cell>
          <cell r="I25">
            <v>0</v>
          </cell>
          <cell r="J25">
            <v>0</v>
          </cell>
          <cell r="K25">
            <v>41754</v>
          </cell>
          <cell r="L25">
            <v>1447.07</v>
          </cell>
          <cell r="N25">
            <v>1447.07</v>
          </cell>
          <cell r="P25">
            <v>170.66</v>
          </cell>
        </row>
        <row r="26">
          <cell r="C26" t="str">
            <v>Texas A&amp;M University - Central Texas</v>
          </cell>
          <cell r="D26">
            <v>3476</v>
          </cell>
          <cell r="E26">
            <v>37168</v>
          </cell>
          <cell r="F26">
            <v>40644</v>
          </cell>
          <cell r="G26">
            <v>10270</v>
          </cell>
          <cell r="H26">
            <v>0</v>
          </cell>
          <cell r="I26">
            <v>0</v>
          </cell>
          <cell r="J26">
            <v>0</v>
          </cell>
          <cell r="K26">
            <v>50914</v>
          </cell>
          <cell r="L26">
            <v>1782.72</v>
          </cell>
          <cell r="N26">
            <v>1782.72</v>
          </cell>
          <cell r="P26">
            <v>205.9</v>
          </cell>
        </row>
        <row r="27">
          <cell r="C27" t="str">
            <v>Texas A&amp;M University - San Antonio</v>
          </cell>
          <cell r="D27">
            <v>6694</v>
          </cell>
          <cell r="E27">
            <v>69366</v>
          </cell>
          <cell r="F27">
            <v>76060</v>
          </cell>
          <cell r="G27">
            <v>13506</v>
          </cell>
          <cell r="H27">
            <v>0</v>
          </cell>
          <cell r="I27">
            <v>0</v>
          </cell>
          <cell r="J27">
            <v>0</v>
          </cell>
          <cell r="K27">
            <v>89566</v>
          </cell>
          <cell r="L27">
            <v>3098.08</v>
          </cell>
          <cell r="N27">
            <v>3098.08</v>
          </cell>
          <cell r="P27">
            <v>272.02999999999997</v>
          </cell>
        </row>
        <row r="28">
          <cell r="C28" t="str">
            <v>University of Houston</v>
          </cell>
          <cell r="D28">
            <v>481005</v>
          </cell>
          <cell r="E28">
            <v>386866</v>
          </cell>
          <cell r="F28">
            <v>867871</v>
          </cell>
          <cell r="G28">
            <v>88609</v>
          </cell>
          <cell r="H28">
            <v>32751</v>
          </cell>
          <cell r="I28">
            <v>38670</v>
          </cell>
          <cell r="J28">
            <v>16028</v>
          </cell>
          <cell r="K28">
            <v>1043929</v>
          </cell>
          <cell r="L28">
            <v>36523.24</v>
          </cell>
          <cell r="N28">
            <v>36523.24</v>
          </cell>
          <cell r="P28">
            <v>3317.01</v>
          </cell>
        </row>
        <row r="29">
          <cell r="C29" t="str">
            <v>University of Houston - Clear Lake</v>
          </cell>
          <cell r="D29">
            <v>29053</v>
          </cell>
          <cell r="E29">
            <v>92436</v>
          </cell>
          <cell r="F29">
            <v>121489</v>
          </cell>
          <cell r="G29">
            <v>54062</v>
          </cell>
          <cell r="H29">
            <v>1614</v>
          </cell>
          <cell r="I29">
            <v>0</v>
          </cell>
          <cell r="J29">
            <v>0</v>
          </cell>
          <cell r="K29">
            <v>177165</v>
          </cell>
          <cell r="L29">
            <v>6391.88</v>
          </cell>
          <cell r="N29">
            <v>6391.88</v>
          </cell>
          <cell r="P29">
            <v>712.6</v>
          </cell>
        </row>
        <row r="30">
          <cell r="C30" t="str">
            <v>University of Houston - Downtown</v>
          </cell>
          <cell r="D30">
            <v>119448</v>
          </cell>
          <cell r="E30">
            <v>143939</v>
          </cell>
          <cell r="F30">
            <v>263387</v>
          </cell>
          <cell r="G30">
            <v>20681</v>
          </cell>
          <cell r="H30">
            <v>0</v>
          </cell>
          <cell r="I30">
            <v>0</v>
          </cell>
          <cell r="J30">
            <v>0</v>
          </cell>
          <cell r="K30">
            <v>284068</v>
          </cell>
          <cell r="L30">
            <v>9641.2800000000007</v>
          </cell>
          <cell r="N30">
            <v>9641.2800000000007</v>
          </cell>
          <cell r="P30">
            <v>891.94</v>
          </cell>
        </row>
        <row r="31">
          <cell r="C31" t="str">
            <v>University of Houston - Victoria</v>
          </cell>
          <cell r="D31">
            <v>22721</v>
          </cell>
          <cell r="E31">
            <v>42804</v>
          </cell>
          <cell r="F31">
            <v>65525</v>
          </cell>
          <cell r="G31">
            <v>17766</v>
          </cell>
          <cell r="H31">
            <v>0</v>
          </cell>
          <cell r="I31">
            <v>0</v>
          </cell>
          <cell r="J31">
            <v>0</v>
          </cell>
          <cell r="K31">
            <v>83291</v>
          </cell>
          <cell r="L31">
            <v>2924.42</v>
          </cell>
          <cell r="N31">
            <v>2924.42</v>
          </cell>
          <cell r="P31">
            <v>284.60000000000002</v>
          </cell>
        </row>
        <row r="32">
          <cell r="C32" t="str">
            <v xml:space="preserve">Lamar University </v>
          </cell>
          <cell r="D32">
            <v>139059</v>
          </cell>
          <cell r="E32">
            <v>84527</v>
          </cell>
          <cell r="F32">
            <v>223586</v>
          </cell>
          <cell r="G32">
            <v>109577</v>
          </cell>
          <cell r="H32">
            <v>7325</v>
          </cell>
          <cell r="I32">
            <v>792</v>
          </cell>
          <cell r="J32">
            <v>0</v>
          </cell>
          <cell r="K32">
            <v>341280</v>
          </cell>
          <cell r="L32">
            <v>12458.52</v>
          </cell>
          <cell r="N32">
            <v>12458.52</v>
          </cell>
          <cell r="P32">
            <v>1021.54</v>
          </cell>
        </row>
        <row r="33">
          <cell r="C33" t="str">
            <v>Sam Houston State University</v>
          </cell>
          <cell r="D33">
            <v>269955</v>
          </cell>
          <cell r="E33">
            <v>192985</v>
          </cell>
          <cell r="F33">
            <v>462940</v>
          </cell>
          <cell r="G33">
            <v>36820</v>
          </cell>
          <cell r="H33">
            <v>3577</v>
          </cell>
          <cell r="I33">
            <v>0</v>
          </cell>
          <cell r="J33">
            <v>0</v>
          </cell>
          <cell r="K33">
            <v>503337</v>
          </cell>
          <cell r="L33">
            <v>17164.22</v>
          </cell>
          <cell r="N33">
            <v>17164.22</v>
          </cell>
          <cell r="P33">
            <v>1386.38</v>
          </cell>
        </row>
        <row r="34">
          <cell r="C34" t="str">
            <v>Texas State University</v>
          </cell>
          <cell r="D34">
            <v>530843</v>
          </cell>
          <cell r="E34">
            <v>328189</v>
          </cell>
          <cell r="F34">
            <v>859032</v>
          </cell>
          <cell r="G34">
            <v>64203</v>
          </cell>
          <cell r="H34">
            <v>5011</v>
          </cell>
          <cell r="I34">
            <v>3976</v>
          </cell>
          <cell r="J34">
            <v>0</v>
          </cell>
          <cell r="K34">
            <v>932222</v>
          </cell>
          <cell r="L34">
            <v>31753.58</v>
          </cell>
          <cell r="N34">
            <v>31753.58</v>
          </cell>
          <cell r="P34">
            <v>2266.4899999999998</v>
          </cell>
        </row>
        <row r="35">
          <cell r="C35" t="str">
            <v>Sul Ross Rio Grande College</v>
          </cell>
          <cell r="D35">
            <v>1362</v>
          </cell>
          <cell r="E35">
            <v>14031</v>
          </cell>
          <cell r="F35">
            <v>15393</v>
          </cell>
          <cell r="G35">
            <v>2397</v>
          </cell>
          <cell r="H35">
            <v>0</v>
          </cell>
          <cell r="I35">
            <v>0</v>
          </cell>
          <cell r="J35">
            <v>0</v>
          </cell>
          <cell r="K35">
            <v>17790</v>
          </cell>
          <cell r="L35">
            <v>612.98</v>
          </cell>
          <cell r="N35">
            <v>612.98</v>
          </cell>
          <cell r="P35">
            <v>66.849999999999994</v>
          </cell>
        </row>
        <row r="36">
          <cell r="C36" t="str">
            <v>Sul Ross State University</v>
          </cell>
          <cell r="D36">
            <v>25546</v>
          </cell>
          <cell r="E36">
            <v>8092</v>
          </cell>
          <cell r="F36">
            <v>33638</v>
          </cell>
          <cell r="G36">
            <v>10444</v>
          </cell>
          <cell r="H36">
            <v>0</v>
          </cell>
          <cell r="I36">
            <v>0</v>
          </cell>
          <cell r="J36">
            <v>0</v>
          </cell>
          <cell r="K36">
            <v>44082</v>
          </cell>
          <cell r="L36">
            <v>1556.43</v>
          </cell>
          <cell r="N36">
            <v>1556.43</v>
          </cell>
          <cell r="O36">
            <v>2169.41</v>
          </cell>
          <cell r="P36">
            <v>203.05</v>
          </cell>
          <cell r="Q36">
            <v>269.89999999999998</v>
          </cell>
          <cell r="S36">
            <v>0</v>
          </cell>
        </row>
        <row r="37">
          <cell r="C37" t="str">
            <v>Texas Tech University</v>
          </cell>
          <cell r="D37">
            <v>498965</v>
          </cell>
          <cell r="E37">
            <v>283795</v>
          </cell>
          <cell r="F37">
            <v>782760</v>
          </cell>
          <cell r="G37">
            <v>67085</v>
          </cell>
          <cell r="H37">
            <v>43708</v>
          </cell>
          <cell r="I37">
            <v>16668</v>
          </cell>
          <cell r="J37">
            <v>0</v>
          </cell>
          <cell r="K37">
            <v>910221</v>
          </cell>
          <cell r="L37">
            <v>32009.93</v>
          </cell>
          <cell r="N37">
            <v>32009.93</v>
          </cell>
          <cell r="P37">
            <v>3399.33</v>
          </cell>
        </row>
        <row r="38">
          <cell r="C38" t="str">
            <v>Angelo State University</v>
          </cell>
          <cell r="D38" t="str">
            <v>Texas State</v>
          </cell>
          <cell r="E38">
            <v>42894</v>
          </cell>
          <cell r="F38">
            <v>160645</v>
          </cell>
          <cell r="G38">
            <v>22308</v>
          </cell>
          <cell r="H38">
            <v>0</v>
          </cell>
          <cell r="I38">
            <v>2336</v>
          </cell>
          <cell r="J38">
            <v>0</v>
          </cell>
          <cell r="K38">
            <v>185289</v>
          </cell>
          <cell r="L38">
            <v>6381.67</v>
          </cell>
          <cell r="N38">
            <v>6381.67</v>
          </cell>
          <cell r="P38">
            <v>604.35</v>
          </cell>
        </row>
        <row r="39">
          <cell r="C39" t="str">
            <v>University of North Texas</v>
          </cell>
          <cell r="D39">
            <v>455242</v>
          </cell>
          <cell r="E39">
            <v>344871</v>
          </cell>
          <cell r="F39">
            <v>800113</v>
          </cell>
          <cell r="G39">
            <v>78674</v>
          </cell>
          <cell r="H39">
            <v>24986</v>
          </cell>
          <cell r="I39">
            <v>1309</v>
          </cell>
          <cell r="J39">
            <v>0</v>
          </cell>
          <cell r="K39">
            <v>905082</v>
          </cell>
          <cell r="L39">
            <v>31391.17</v>
          </cell>
          <cell r="N39">
            <v>31391.17</v>
          </cell>
          <cell r="P39">
            <v>2141.84</v>
          </cell>
        </row>
        <row r="40">
          <cell r="C40" t="str">
            <v>University of North Texas at Dallas</v>
          </cell>
          <cell r="D40">
            <v>19958</v>
          </cell>
          <cell r="E40">
            <v>25775</v>
          </cell>
          <cell r="F40">
            <v>45733</v>
          </cell>
          <cell r="G40">
            <v>5144</v>
          </cell>
          <cell r="H40">
            <v>0</v>
          </cell>
          <cell r="I40">
            <v>7664</v>
          </cell>
          <cell r="J40">
            <v>0</v>
          </cell>
          <cell r="K40">
            <v>58541</v>
          </cell>
          <cell r="L40">
            <v>2058.1</v>
          </cell>
          <cell r="N40">
            <v>2058.1</v>
          </cell>
          <cell r="P40">
            <v>193.22</v>
          </cell>
        </row>
        <row r="41">
          <cell r="C41" t="str">
            <v>Midwestern State University</v>
          </cell>
          <cell r="D41">
            <v>79620</v>
          </cell>
          <cell r="E41">
            <v>50106</v>
          </cell>
          <cell r="F41">
            <v>129726</v>
          </cell>
          <cell r="G41">
            <v>10246</v>
          </cell>
          <cell r="H41">
            <v>0</v>
          </cell>
          <cell r="I41">
            <v>0</v>
          </cell>
          <cell r="J41">
            <v>0</v>
          </cell>
          <cell r="K41">
            <v>139972</v>
          </cell>
          <cell r="L41">
            <v>4751.12</v>
          </cell>
          <cell r="N41">
            <v>4751.12</v>
          </cell>
          <cell r="P41">
            <v>525.41</v>
          </cell>
        </row>
        <row r="42">
          <cell r="C42" t="str">
            <v>Stephen F. Austin State University</v>
          </cell>
          <cell r="D42">
            <v>182030</v>
          </cell>
          <cell r="E42">
            <v>103081</v>
          </cell>
          <cell r="F42">
            <v>285111</v>
          </cell>
          <cell r="G42">
            <v>28056</v>
          </cell>
          <cell r="H42">
            <v>1081</v>
          </cell>
          <cell r="I42">
            <v>0</v>
          </cell>
          <cell r="J42">
            <v>0</v>
          </cell>
          <cell r="K42">
            <v>314248</v>
          </cell>
          <cell r="L42">
            <v>10732.76</v>
          </cell>
          <cell r="N42">
            <v>10732.76</v>
          </cell>
          <cell r="P42">
            <v>1176.4499999999998</v>
          </cell>
        </row>
        <row r="43">
          <cell r="C43" t="str">
            <v>Texas Southern University</v>
          </cell>
          <cell r="D43">
            <v>128203</v>
          </cell>
          <cell r="E43">
            <v>51482</v>
          </cell>
          <cell r="F43">
            <v>179685</v>
          </cell>
          <cell r="G43">
            <v>17770</v>
          </cell>
          <cell r="H43">
            <v>3006</v>
          </cell>
          <cell r="I43">
            <v>30682</v>
          </cell>
          <cell r="J43">
            <v>0</v>
          </cell>
          <cell r="K43">
            <v>231143</v>
          </cell>
          <cell r="L43">
            <v>8175.33</v>
          </cell>
          <cell r="N43">
            <v>8175.33</v>
          </cell>
          <cell r="P43">
            <v>938.87</v>
          </cell>
        </row>
        <row r="44">
          <cell r="C44" t="str">
            <v>Texas Woman's University</v>
          </cell>
          <cell r="D44">
            <v>123259</v>
          </cell>
          <cell r="E44">
            <v>118603</v>
          </cell>
          <cell r="F44">
            <v>241862</v>
          </cell>
          <cell r="G44">
            <v>73390</v>
          </cell>
          <cell r="H44">
            <v>9613</v>
          </cell>
          <cell r="I44">
            <v>9619</v>
          </cell>
          <cell r="J44">
            <v>0</v>
          </cell>
          <cell r="K44">
            <v>334484</v>
          </cell>
          <cell r="L44">
            <v>12054.83</v>
          </cell>
          <cell r="N44">
            <v>12054.83</v>
          </cell>
          <cell r="P44">
            <v>1354.72</v>
          </cell>
        </row>
        <row r="47">
          <cell r="C47" t="str">
            <v>TOTAL</v>
          </cell>
          <cell r="D47">
            <v>6901134</v>
          </cell>
          <cell r="E47">
            <v>5369787</v>
          </cell>
          <cell r="F47">
            <v>12529099</v>
          </cell>
          <cell r="G47">
            <v>1761286</v>
          </cell>
          <cell r="H47">
            <v>365244</v>
          </cell>
          <cell r="I47">
            <v>177630</v>
          </cell>
          <cell r="J47">
            <v>16028</v>
          </cell>
          <cell r="K47">
            <v>14849287</v>
          </cell>
          <cell r="L47">
            <v>519187.54999999987</v>
          </cell>
          <cell r="N47">
            <v>519187.54999999987</v>
          </cell>
          <cell r="P47">
            <v>47787.54</v>
          </cell>
        </row>
        <row r="49">
          <cell r="C49" t="str">
            <v>1Undergraduate SCH divided by 30, master's and special-professional divided by 24, doctoral divided by 18, and optometry divided by 34.</v>
          </cell>
          <cell r="N49">
            <v>519187.54999999987</v>
          </cell>
          <cell r="P49">
            <v>47787.54</v>
          </cell>
          <cell r="R49" t="str">
            <v>For Research Only</v>
          </cell>
        </row>
        <row r="50">
          <cell r="N50">
            <v>0</v>
          </cell>
          <cell r="P50">
            <v>0</v>
          </cell>
        </row>
        <row r="51">
          <cell r="N51" t="str">
            <v>Checked Ok</v>
          </cell>
        </row>
        <row r="52">
          <cell r="N52">
            <v>42716</v>
          </cell>
          <cell r="P52" t="str">
            <v>Checked Ok</v>
          </cell>
        </row>
        <row r="53">
          <cell r="P53">
            <v>42723</v>
          </cell>
        </row>
        <row r="55">
          <cell r="C55" t="str">
            <v>Total Used for S&amp;U &amp; Accountability</v>
          </cell>
          <cell r="P55" t="str">
            <v>FY 2016 Annual</v>
          </cell>
        </row>
        <row r="57">
          <cell r="C57" t="str">
            <v>Total from Univ_IE_Keys</v>
          </cell>
          <cell r="N57">
            <v>519187.55</v>
          </cell>
        </row>
        <row r="58">
          <cell r="C58" t="str">
            <v>Balance Check for FTSE</v>
          </cell>
          <cell r="N58">
            <v>0</v>
          </cell>
          <cell r="P58" t="str">
            <v>Source: AccountabilityU_FTEFaculty_TenureGenEth_FYxx.sas</v>
          </cell>
        </row>
      </sheetData>
      <sheetData sheetId="178"/>
      <sheetData sheetId="1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T&amp;F Summary"/>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57">
          <cell r="F57">
            <v>3815620966</v>
          </cell>
        </row>
      </sheetData>
      <sheetData sheetId="18" refreshError="1"/>
      <sheetData sheetId="19" refreshError="1"/>
      <sheetData sheetId="20" refreshError="1"/>
      <sheetData sheetId="21">
        <row r="18">
          <cell r="F18">
            <v>156398943</v>
          </cell>
        </row>
      </sheetData>
      <sheetData sheetId="22" refreshError="1"/>
      <sheetData sheetId="23" refreshError="1"/>
      <sheetData sheetId="24" refreshError="1"/>
      <sheetData sheetId="25">
        <row r="18">
          <cell r="F18">
            <v>350632654</v>
          </cell>
        </row>
      </sheetData>
      <sheetData sheetId="26" refreshError="1"/>
      <sheetData sheetId="27" refreshError="1"/>
      <sheetData sheetId="28" refreshError="1"/>
      <sheetData sheetId="29">
        <row r="18">
          <cell r="F18">
            <v>149497859</v>
          </cell>
        </row>
      </sheetData>
      <sheetData sheetId="30" refreshError="1"/>
      <sheetData sheetId="31" refreshError="1"/>
      <sheetData sheetId="32" refreshError="1"/>
      <sheetData sheetId="33">
        <row r="18">
          <cell r="F18">
            <v>80656660</v>
          </cell>
        </row>
      </sheetData>
      <sheetData sheetId="34" refreshError="1"/>
      <sheetData sheetId="35" refreshError="1"/>
      <sheetData sheetId="36" refreshError="1"/>
      <sheetData sheetId="37">
        <row r="18">
          <cell r="F18">
            <v>34928144</v>
          </cell>
        </row>
      </sheetData>
      <sheetData sheetId="38" refreshError="1"/>
      <sheetData sheetId="39" refreshError="1"/>
      <sheetData sheetId="40" refreshError="1"/>
      <sheetData sheetId="41">
        <row r="18">
          <cell r="F18">
            <v>21870370</v>
          </cell>
        </row>
      </sheetData>
      <sheetData sheetId="42" refreshError="1"/>
      <sheetData sheetId="43" refreshError="1"/>
      <sheetData sheetId="44" refreshError="1"/>
      <sheetData sheetId="45">
        <row r="18">
          <cell r="F18">
            <v>12179441</v>
          </cell>
        </row>
      </sheetData>
      <sheetData sheetId="46" refreshError="1"/>
      <sheetData sheetId="47" refreshError="1"/>
      <sheetData sheetId="48" refreshError="1"/>
      <sheetData sheetId="49">
        <row r="18">
          <cell r="F18">
            <v>120282685</v>
          </cell>
        </row>
      </sheetData>
      <sheetData sheetId="50" refreshError="1"/>
      <sheetData sheetId="51" refreshError="1"/>
      <sheetData sheetId="52" refreshError="1"/>
      <sheetData sheetId="53">
        <row r="18">
          <cell r="F18">
            <v>25835009</v>
          </cell>
        </row>
      </sheetData>
      <sheetData sheetId="54" refreshError="1"/>
      <sheetData sheetId="55" refreshError="1"/>
      <sheetData sheetId="56" refreshError="1"/>
      <sheetData sheetId="57">
        <row r="18">
          <cell r="F18">
            <v>299495435</v>
          </cell>
        </row>
      </sheetData>
      <sheetData sheetId="58" refreshError="1"/>
      <sheetData sheetId="59" refreshError="1"/>
      <sheetData sheetId="60" refreshError="1"/>
      <sheetData sheetId="61">
        <row r="18">
          <cell r="F18">
            <v>14043920</v>
          </cell>
        </row>
      </sheetData>
      <sheetData sheetId="62" refreshError="1"/>
      <sheetData sheetId="63" refreshError="1"/>
      <sheetData sheetId="64" refreshError="1"/>
      <sheetData sheetId="65">
        <row r="18">
          <cell r="F18">
            <v>27881129</v>
          </cell>
        </row>
      </sheetData>
      <sheetData sheetId="66" refreshError="1"/>
      <sheetData sheetId="67" refreshError="1"/>
      <sheetData sheetId="68" refreshError="1"/>
      <sheetData sheetId="69">
        <row r="18">
          <cell r="F18">
            <v>40541104</v>
          </cell>
        </row>
      </sheetData>
      <sheetData sheetId="70" refreshError="1"/>
      <sheetData sheetId="71" refreshError="1"/>
      <sheetData sheetId="72" refreshError="1"/>
      <sheetData sheetId="73">
        <row r="18">
          <cell r="F18">
            <v>40069186</v>
          </cell>
        </row>
      </sheetData>
      <sheetData sheetId="74" refreshError="1"/>
      <sheetData sheetId="75" refreshError="1"/>
      <sheetData sheetId="76" refreshError="1"/>
      <sheetData sheetId="77">
        <row r="18">
          <cell r="F18">
            <v>34314374</v>
          </cell>
        </row>
      </sheetData>
      <sheetData sheetId="78" refreshError="1"/>
      <sheetData sheetId="79" refreshError="1"/>
      <sheetData sheetId="80" refreshError="1"/>
      <sheetData sheetId="81">
        <row r="18">
          <cell r="F18">
            <v>13084999</v>
          </cell>
        </row>
      </sheetData>
      <sheetData sheetId="82" refreshError="1"/>
      <sheetData sheetId="83" refreshError="1"/>
      <sheetData sheetId="84" refreshError="1"/>
      <sheetData sheetId="85">
        <row r="18">
          <cell r="F18">
            <v>32654644</v>
          </cell>
        </row>
      </sheetData>
      <sheetData sheetId="86" refreshError="1"/>
      <sheetData sheetId="87" refreshError="1"/>
      <sheetData sheetId="88" refreshError="1"/>
      <sheetData sheetId="89">
        <row r="18">
          <cell r="F18">
            <v>38161477</v>
          </cell>
        </row>
      </sheetData>
      <sheetData sheetId="90" refreshError="1"/>
      <sheetData sheetId="91" refreshError="1"/>
      <sheetData sheetId="92" refreshError="1"/>
      <sheetData sheetId="93">
        <row r="18">
          <cell r="F18">
            <v>5517547</v>
          </cell>
        </row>
      </sheetData>
      <sheetData sheetId="94" refreshError="1"/>
      <sheetData sheetId="95" refreshError="1"/>
      <sheetData sheetId="96" refreshError="1"/>
      <sheetData sheetId="97">
        <row r="18">
          <cell r="F18">
            <v>6609222</v>
          </cell>
        </row>
      </sheetData>
      <sheetData sheetId="98" refreshError="1"/>
      <sheetData sheetId="99" refreshError="1"/>
      <sheetData sheetId="100" refreshError="1"/>
      <sheetData sheetId="101">
        <row r="18">
          <cell r="F18">
            <v>11228481</v>
          </cell>
        </row>
      </sheetData>
      <sheetData sheetId="102" refreshError="1"/>
      <sheetData sheetId="103" refreshError="1"/>
      <sheetData sheetId="104" refreshError="1"/>
      <sheetData sheetId="105">
        <row r="18">
          <cell r="F18">
            <v>237511161</v>
          </cell>
        </row>
      </sheetData>
      <sheetData sheetId="106" refreshError="1"/>
      <sheetData sheetId="107" refreshError="1"/>
      <sheetData sheetId="108" refreshError="1"/>
      <sheetData sheetId="109">
        <row r="18">
          <cell r="F18">
            <v>47074136</v>
          </cell>
        </row>
      </sheetData>
      <sheetData sheetId="110" refreshError="1"/>
      <sheetData sheetId="111" refreshError="1"/>
      <sheetData sheetId="112" refreshError="1"/>
      <sheetData sheetId="113">
        <row r="18">
          <cell r="F18">
            <v>53213042</v>
          </cell>
        </row>
      </sheetData>
      <sheetData sheetId="114" refreshError="1"/>
      <sheetData sheetId="115" refreshError="1"/>
      <sheetData sheetId="116" refreshError="1"/>
      <sheetData sheetId="117">
        <row r="18">
          <cell r="F18">
            <v>14064685</v>
          </cell>
        </row>
      </sheetData>
      <sheetData sheetId="118" refreshError="1"/>
      <sheetData sheetId="119" refreshError="1"/>
      <sheetData sheetId="120" refreshError="1"/>
      <sheetData sheetId="121">
        <row r="18">
          <cell r="F18">
            <v>85632170</v>
          </cell>
        </row>
      </sheetData>
      <sheetData sheetId="122" refreshError="1"/>
      <sheetData sheetId="123" refreshError="1"/>
      <sheetData sheetId="124" refreshError="1"/>
      <sheetData sheetId="125">
        <row r="18">
          <cell r="F18">
            <v>69398614</v>
          </cell>
        </row>
      </sheetData>
      <sheetData sheetId="126" refreshError="1"/>
      <sheetData sheetId="127" refreshError="1"/>
      <sheetData sheetId="128" refreshError="1"/>
      <sheetData sheetId="129">
        <row r="18">
          <cell r="F18">
            <v>173317675</v>
          </cell>
        </row>
      </sheetData>
      <sheetData sheetId="130" refreshError="1"/>
      <sheetData sheetId="131" refreshError="1"/>
      <sheetData sheetId="132" refreshError="1"/>
      <sheetData sheetId="133">
        <row r="18">
          <cell r="F18">
            <v>5036762</v>
          </cell>
        </row>
      </sheetData>
      <sheetData sheetId="134" refreshError="1"/>
      <sheetData sheetId="135" refreshError="1"/>
      <sheetData sheetId="136" refreshError="1"/>
      <sheetData sheetId="137">
        <row r="18">
          <cell r="F18">
            <v>168541740</v>
          </cell>
        </row>
      </sheetData>
      <sheetData sheetId="138" refreshError="1"/>
      <sheetData sheetId="139" refreshError="1"/>
      <sheetData sheetId="140" refreshError="1"/>
      <sheetData sheetId="141">
        <row r="18">
          <cell r="F18">
            <v>21714038</v>
          </cell>
        </row>
      </sheetData>
      <sheetData sheetId="142" refreshError="1"/>
      <sheetData sheetId="143" refreshError="1"/>
      <sheetData sheetId="144" refreshError="1"/>
      <sheetData sheetId="145">
        <row r="18">
          <cell r="F18">
            <v>250908010</v>
          </cell>
        </row>
      </sheetData>
      <sheetData sheetId="146" refreshError="1"/>
      <sheetData sheetId="147" refreshError="1"/>
      <sheetData sheetId="148" refreshError="1"/>
      <sheetData sheetId="149">
        <row r="18">
          <cell r="F18">
            <v>13000910</v>
          </cell>
        </row>
      </sheetData>
      <sheetData sheetId="150" refreshError="1"/>
      <sheetData sheetId="151" refreshError="1"/>
      <sheetData sheetId="152" refreshError="1"/>
      <sheetData sheetId="153">
        <row r="18">
          <cell r="F18">
            <v>19202078</v>
          </cell>
        </row>
      </sheetData>
      <sheetData sheetId="154" refreshError="1"/>
      <sheetData sheetId="155" refreshError="1"/>
      <sheetData sheetId="156" refreshError="1"/>
      <sheetData sheetId="157">
        <row r="18">
          <cell r="F18">
            <v>57313089</v>
          </cell>
        </row>
      </sheetData>
      <sheetData sheetId="158" refreshError="1"/>
      <sheetData sheetId="159" refreshError="1"/>
      <sheetData sheetId="160" refreshError="1"/>
      <sheetData sheetId="161">
        <row r="18">
          <cell r="F18">
            <v>45371923</v>
          </cell>
        </row>
      </sheetData>
      <sheetData sheetId="162" refreshError="1"/>
      <sheetData sheetId="163" refreshError="1"/>
      <sheetData sheetId="164" refreshError="1"/>
      <sheetData sheetId="165">
        <row r="18">
          <cell r="F18">
            <v>78429656</v>
          </cell>
        </row>
      </sheetData>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 Pan American</v>
          </cell>
          <cell r="D12">
            <v>280388</v>
          </cell>
          <cell r="E12">
            <v>194236</v>
          </cell>
          <cell r="F12">
            <v>474624</v>
          </cell>
          <cell r="G12">
            <v>54181</v>
          </cell>
          <cell r="H12">
            <v>1912</v>
          </cell>
          <cell r="I12">
            <v>0</v>
          </cell>
          <cell r="J12">
            <v>0</v>
          </cell>
          <cell r="K12">
            <v>530717</v>
          </cell>
          <cell r="L12">
            <v>18184.560000000001</v>
          </cell>
          <cell r="N12">
            <v>18184.560000000001</v>
          </cell>
          <cell r="P12">
            <v>1157.82</v>
          </cell>
        </row>
        <row r="13">
          <cell r="C13" t="str">
            <v xml:space="preserve">The University of Texas at Brownsville </v>
          </cell>
          <cell r="D13">
            <v>108651</v>
          </cell>
          <cell r="E13">
            <v>56667</v>
          </cell>
          <cell r="F13">
            <v>165318</v>
          </cell>
          <cell r="G13">
            <v>13359</v>
          </cell>
          <cell r="H13">
            <v>1077</v>
          </cell>
          <cell r="I13">
            <v>0</v>
          </cell>
          <cell r="J13">
            <v>0</v>
          </cell>
          <cell r="K13">
            <v>179754</v>
          </cell>
          <cell r="L13">
            <v>6127.06</v>
          </cell>
          <cell r="N13">
            <v>6127.06</v>
          </cell>
          <cell r="P13">
            <v>644.37</v>
          </cell>
        </row>
        <row r="14">
          <cell r="C14" t="str">
            <v>The University of Texas of the Permian Basin</v>
          </cell>
          <cell r="D14">
            <v>58140</v>
          </cell>
          <cell r="E14">
            <v>49239</v>
          </cell>
          <cell r="F14">
            <v>107379</v>
          </cell>
          <cell r="G14">
            <v>11615</v>
          </cell>
          <cell r="H14">
            <v>0</v>
          </cell>
          <cell r="I14">
            <v>0</v>
          </cell>
          <cell r="J14">
            <v>0</v>
          </cell>
          <cell r="K14">
            <v>118994</v>
          </cell>
          <cell r="L14">
            <v>4063.26</v>
          </cell>
          <cell r="N14">
            <v>4063.26</v>
          </cell>
          <cell r="P14">
            <v>307.48</v>
          </cell>
        </row>
        <row r="15">
          <cell r="C15" t="str">
            <v>The University of Texas at San Antonio</v>
          </cell>
          <cell r="D15">
            <v>376625</v>
          </cell>
          <cell r="E15">
            <v>224815</v>
          </cell>
          <cell r="F15">
            <v>601440</v>
          </cell>
          <cell r="G15">
            <v>54888</v>
          </cell>
          <cell r="H15">
            <v>11515</v>
          </cell>
          <cell r="I15">
            <v>0</v>
          </cell>
          <cell r="J15">
            <v>0</v>
          </cell>
          <cell r="K15">
            <v>667843</v>
          </cell>
          <cell r="L15">
            <v>22974.720000000001</v>
          </cell>
          <cell r="N15">
            <v>22974.720000000001</v>
          </cell>
          <cell r="P15">
            <v>2143.79</v>
          </cell>
        </row>
        <row r="16">
          <cell r="C16" t="str">
            <v>The University of Texas at Tyler</v>
          </cell>
          <cell r="D16">
            <v>64643</v>
          </cell>
          <cell r="E16">
            <v>79403</v>
          </cell>
          <cell r="F16">
            <v>144046</v>
          </cell>
          <cell r="G16">
            <v>36921</v>
          </cell>
          <cell r="H16">
            <v>1219</v>
          </cell>
          <cell r="I16">
            <v>0</v>
          </cell>
          <cell r="J16">
            <v>0</v>
          </cell>
          <cell r="K16">
            <v>182186</v>
          </cell>
          <cell r="L16">
            <v>6407.63</v>
          </cell>
          <cell r="N16">
            <v>6407.63</v>
          </cell>
          <cell r="P16">
            <v>671.85</v>
          </cell>
        </row>
        <row r="17">
          <cell r="C17" t="str">
            <v>Texas A&amp;M University</v>
          </cell>
          <cell r="D17">
            <v>694313</v>
          </cell>
          <cell r="E17">
            <v>512510</v>
          </cell>
          <cell r="F17">
            <v>1206823</v>
          </cell>
          <cell r="G17">
            <v>127746</v>
          </cell>
          <cell r="H17">
            <v>72749</v>
          </cell>
          <cell r="I17">
            <v>19070</v>
          </cell>
          <cell r="J17">
            <v>0</v>
          </cell>
          <cell r="K17">
            <v>1426388</v>
          </cell>
          <cell r="L17">
            <v>50386.38</v>
          </cell>
          <cell r="N17">
            <v>50386.38</v>
          </cell>
          <cell r="P17">
            <v>4682.43</v>
          </cell>
        </row>
        <row r="18">
          <cell r="C18" t="str">
            <v>Texas A&amp;M University at Galveston</v>
          </cell>
          <cell r="D18">
            <v>39572</v>
          </cell>
          <cell r="E18">
            <v>22906</v>
          </cell>
          <cell r="F18">
            <v>62478</v>
          </cell>
          <cell r="G18">
            <v>1517</v>
          </cell>
          <cell r="H18">
            <v>544</v>
          </cell>
          <cell r="I18">
            <v>0</v>
          </cell>
          <cell r="J18">
            <v>0</v>
          </cell>
          <cell r="K18">
            <v>64539</v>
          </cell>
          <cell r="L18">
            <v>2176.0300000000002</v>
          </cell>
          <cell r="N18">
            <v>2176.0300000000002</v>
          </cell>
          <cell r="P18">
            <v>257.58</v>
          </cell>
        </row>
        <row r="19">
          <cell r="C19" t="str">
            <v>Prairie View A&amp;M University</v>
          </cell>
          <cell r="D19">
            <v>135878</v>
          </cell>
          <cell r="E19">
            <v>53783</v>
          </cell>
          <cell r="F19">
            <v>189661</v>
          </cell>
          <cell r="G19">
            <v>21431</v>
          </cell>
          <cell r="H19">
            <v>2535</v>
          </cell>
          <cell r="I19">
            <v>0</v>
          </cell>
          <cell r="J19">
            <v>0</v>
          </cell>
          <cell r="K19">
            <v>213627</v>
          </cell>
          <cell r="L19">
            <v>7355.83</v>
          </cell>
          <cell r="N19">
            <v>7355.83</v>
          </cell>
          <cell r="P19">
            <v>767.87</v>
          </cell>
        </row>
        <row r="20">
          <cell r="C20" t="str">
            <v>Tarleton State University</v>
          </cell>
          <cell r="D20">
            <v>147288</v>
          </cell>
          <cell r="E20">
            <v>116282</v>
          </cell>
          <cell r="F20">
            <v>263570</v>
          </cell>
          <cell r="G20">
            <v>22373</v>
          </cell>
          <cell r="H20">
            <v>1412</v>
          </cell>
          <cell r="I20">
            <v>0</v>
          </cell>
          <cell r="J20">
            <v>0</v>
          </cell>
          <cell r="K20">
            <v>287355</v>
          </cell>
          <cell r="L20">
            <v>9796.32</v>
          </cell>
          <cell r="N20">
            <v>9796.32</v>
          </cell>
          <cell r="P20">
            <v>968.22</v>
          </cell>
        </row>
        <row r="21">
          <cell r="C21" t="str">
            <v>Texas A&amp;M University - Corpus Christi</v>
          </cell>
          <cell r="D21">
            <v>146505</v>
          </cell>
          <cell r="E21">
            <v>87341</v>
          </cell>
          <cell r="F21">
            <v>233846</v>
          </cell>
          <cell r="G21">
            <v>27849</v>
          </cell>
          <cell r="H21">
            <v>3038</v>
          </cell>
          <cell r="I21">
            <v>0</v>
          </cell>
          <cell r="J21">
            <v>0</v>
          </cell>
          <cell r="K21">
            <v>264733</v>
          </cell>
          <cell r="L21">
            <v>9124.02</v>
          </cell>
          <cell r="N21">
            <v>9124.02</v>
          </cell>
          <cell r="P21">
            <v>833.8</v>
          </cell>
        </row>
        <row r="22">
          <cell r="C22" t="str">
            <v>Texas A&amp;M University - Kingsville</v>
          </cell>
          <cell r="D22">
            <v>101477</v>
          </cell>
          <cell r="E22">
            <v>53840</v>
          </cell>
          <cell r="F22">
            <v>155317</v>
          </cell>
          <cell r="G22">
            <v>49237</v>
          </cell>
          <cell r="H22">
            <v>3073</v>
          </cell>
          <cell r="I22">
            <v>0</v>
          </cell>
          <cell r="J22">
            <v>0</v>
          </cell>
          <cell r="K22">
            <v>207627</v>
          </cell>
          <cell r="L22">
            <v>7399.5</v>
          </cell>
          <cell r="N22">
            <v>7399.5</v>
          </cell>
          <cell r="P22">
            <v>716.7</v>
          </cell>
        </row>
        <row r="23">
          <cell r="C23" t="str">
            <v>Texas A&amp;M International University</v>
          </cell>
          <cell r="D23">
            <v>92737</v>
          </cell>
          <cell r="E23">
            <v>58054</v>
          </cell>
          <cell r="F23">
            <v>150791</v>
          </cell>
          <cell r="G23">
            <v>13139</v>
          </cell>
          <cell r="H23">
            <v>320</v>
          </cell>
          <cell r="I23">
            <v>0</v>
          </cell>
          <cell r="J23">
            <v>0</v>
          </cell>
          <cell r="K23">
            <v>164250</v>
          </cell>
          <cell r="L23">
            <v>5591.6</v>
          </cell>
          <cell r="N23">
            <v>5591.6</v>
          </cell>
          <cell r="P23">
            <v>474.42</v>
          </cell>
        </row>
        <row r="24">
          <cell r="C24" t="str">
            <v>West Texas A&amp;M University</v>
          </cell>
          <cell r="D24">
            <v>107766</v>
          </cell>
          <cell r="E24">
            <v>77596</v>
          </cell>
          <cell r="F24">
            <v>185362</v>
          </cell>
          <cell r="G24">
            <v>30343</v>
          </cell>
          <cell r="H24">
            <v>191</v>
          </cell>
          <cell r="I24">
            <v>0</v>
          </cell>
          <cell r="J24">
            <v>0</v>
          </cell>
          <cell r="K24">
            <v>215896</v>
          </cell>
          <cell r="L24">
            <v>7453.64</v>
          </cell>
          <cell r="N24">
            <v>7453.64</v>
          </cell>
          <cell r="P24">
            <v>662.44</v>
          </cell>
        </row>
        <row r="25">
          <cell r="C25" t="str">
            <v>Texas A&amp;M University - Commerce</v>
          </cell>
          <cell r="D25">
            <v>91102</v>
          </cell>
          <cell r="E25">
            <v>85817</v>
          </cell>
          <cell r="F25">
            <v>176919</v>
          </cell>
          <cell r="G25">
            <v>70292</v>
          </cell>
          <cell r="H25">
            <v>7750</v>
          </cell>
          <cell r="I25">
            <v>0</v>
          </cell>
          <cell r="J25">
            <v>0</v>
          </cell>
          <cell r="K25">
            <v>254961</v>
          </cell>
          <cell r="L25">
            <v>9256.69</v>
          </cell>
          <cell r="N25">
            <v>9256.69</v>
          </cell>
          <cell r="P25">
            <v>879.08</v>
          </cell>
        </row>
        <row r="26">
          <cell r="C26" t="str">
            <v>Texas A&amp;M University - Texarkana</v>
          </cell>
          <cell r="D26">
            <v>15556</v>
          </cell>
          <cell r="E26">
            <v>17581</v>
          </cell>
          <cell r="F26">
            <v>33137</v>
          </cell>
          <cell r="G26">
            <v>6252</v>
          </cell>
          <cell r="H26">
            <v>66</v>
          </cell>
          <cell r="I26">
            <v>0</v>
          </cell>
          <cell r="J26">
            <v>0</v>
          </cell>
          <cell r="K26">
            <v>39455</v>
          </cell>
          <cell r="L26">
            <v>1368.73</v>
          </cell>
          <cell r="N26">
            <v>1368.73</v>
          </cell>
          <cell r="P26">
            <v>162.88999999999999</v>
          </cell>
        </row>
        <row r="27">
          <cell r="C27" t="str">
            <v>Texas A&amp;M University - Central Texas</v>
          </cell>
          <cell r="D27">
            <v>3295</v>
          </cell>
          <cell r="E27">
            <v>34528</v>
          </cell>
          <cell r="F27">
            <v>37823</v>
          </cell>
          <cell r="G27">
            <v>10067</v>
          </cell>
          <cell r="H27">
            <v>0</v>
          </cell>
          <cell r="I27">
            <v>0</v>
          </cell>
          <cell r="J27">
            <v>0</v>
          </cell>
          <cell r="K27">
            <v>47890</v>
          </cell>
          <cell r="L27">
            <v>1680.23</v>
          </cell>
          <cell r="N27">
            <v>1680.23</v>
          </cell>
          <cell r="P27">
            <v>189.25</v>
          </cell>
        </row>
        <row r="28">
          <cell r="C28" t="str">
            <v>Texas A&amp;M University - San Antonio</v>
          </cell>
          <cell r="D28">
            <v>5475</v>
          </cell>
          <cell r="E28">
            <v>65062</v>
          </cell>
          <cell r="F28">
            <v>70537</v>
          </cell>
          <cell r="G28">
            <v>15761</v>
          </cell>
          <cell r="H28">
            <v>0</v>
          </cell>
          <cell r="I28">
            <v>0</v>
          </cell>
          <cell r="J28">
            <v>0</v>
          </cell>
          <cell r="K28">
            <v>86298</v>
          </cell>
          <cell r="L28">
            <v>3007.94</v>
          </cell>
          <cell r="N28">
            <v>3007.94</v>
          </cell>
          <cell r="P28">
            <v>144.03</v>
          </cell>
        </row>
        <row r="29">
          <cell r="C29" t="str">
            <v>University of Houston</v>
          </cell>
          <cell r="D29">
            <v>455314</v>
          </cell>
          <cell r="E29">
            <v>365168</v>
          </cell>
          <cell r="F29">
            <v>820482</v>
          </cell>
          <cell r="G29">
            <v>88119</v>
          </cell>
          <cell r="H29">
            <v>29124</v>
          </cell>
          <cell r="I29">
            <v>38009</v>
          </cell>
          <cell r="J29">
            <v>16110</v>
          </cell>
          <cell r="K29">
            <v>991844</v>
          </cell>
          <cell r="L29">
            <v>34696.559999999998</v>
          </cell>
          <cell r="N29">
            <v>34696.559999999998</v>
          </cell>
          <cell r="P29">
            <v>3202.98</v>
          </cell>
        </row>
        <row r="30">
          <cell r="C30" t="str">
            <v>University of Houston - Clear Lake</v>
          </cell>
          <cell r="D30">
            <v>21364</v>
          </cell>
          <cell r="E30">
            <v>90978</v>
          </cell>
          <cell r="F30">
            <v>112342</v>
          </cell>
          <cell r="G30">
            <v>56623</v>
          </cell>
          <cell r="H30">
            <v>1380</v>
          </cell>
          <cell r="I30">
            <v>0</v>
          </cell>
          <cell r="J30">
            <v>0</v>
          </cell>
          <cell r="K30">
            <v>170345</v>
          </cell>
          <cell r="L30">
            <v>6180.69</v>
          </cell>
          <cell r="N30">
            <v>6180.69</v>
          </cell>
          <cell r="P30">
            <v>670.08</v>
          </cell>
        </row>
        <row r="31">
          <cell r="C31" t="str">
            <v>University of Houston - Downtown</v>
          </cell>
          <cell r="D31">
            <v>137124</v>
          </cell>
          <cell r="E31">
            <v>142954</v>
          </cell>
          <cell r="F31">
            <v>280078</v>
          </cell>
          <cell r="G31">
            <v>10954</v>
          </cell>
          <cell r="H31">
            <v>0</v>
          </cell>
          <cell r="I31">
            <v>0</v>
          </cell>
          <cell r="J31">
            <v>0</v>
          </cell>
          <cell r="K31">
            <v>291032</v>
          </cell>
          <cell r="L31">
            <v>9792.35</v>
          </cell>
          <cell r="N31">
            <v>9792.35</v>
          </cell>
          <cell r="P31">
            <v>860.42000000000007</v>
          </cell>
        </row>
        <row r="32">
          <cell r="C32" t="str">
            <v>University of Houston - Victoria</v>
          </cell>
          <cell r="D32">
            <v>21420</v>
          </cell>
          <cell r="E32">
            <v>47082</v>
          </cell>
          <cell r="F32">
            <v>68502</v>
          </cell>
          <cell r="G32">
            <v>20310</v>
          </cell>
          <cell r="H32">
            <v>0</v>
          </cell>
          <cell r="I32">
            <v>0</v>
          </cell>
          <cell r="J32">
            <v>0</v>
          </cell>
          <cell r="K32">
            <v>88812</v>
          </cell>
          <cell r="L32">
            <v>3129.65</v>
          </cell>
          <cell r="N32">
            <v>3129.65</v>
          </cell>
          <cell r="P32">
            <v>298.13</v>
          </cell>
        </row>
        <row r="33">
          <cell r="C33" t="str">
            <v xml:space="preserve">Lamar University </v>
          </cell>
          <cell r="D33">
            <v>138713</v>
          </cell>
          <cell r="E33">
            <v>83599</v>
          </cell>
          <cell r="F33">
            <v>222312</v>
          </cell>
          <cell r="G33">
            <v>119202</v>
          </cell>
          <cell r="H33">
            <v>7722</v>
          </cell>
          <cell r="I33">
            <v>0</v>
          </cell>
          <cell r="J33">
            <v>0</v>
          </cell>
          <cell r="K33">
            <v>349236</v>
          </cell>
          <cell r="L33">
            <v>12806.15</v>
          </cell>
          <cell r="N33">
            <v>12806.15</v>
          </cell>
          <cell r="P33">
            <v>958.08</v>
          </cell>
        </row>
        <row r="34">
          <cell r="C34" t="str">
            <v>Sam Houston State University</v>
          </cell>
          <cell r="D34">
            <v>262531</v>
          </cell>
          <cell r="E34">
            <v>183402</v>
          </cell>
          <cell r="F34">
            <v>445933</v>
          </cell>
          <cell r="G34">
            <v>38683</v>
          </cell>
          <cell r="H34">
            <v>3525</v>
          </cell>
          <cell r="I34">
            <v>0</v>
          </cell>
          <cell r="J34">
            <v>0</v>
          </cell>
          <cell r="K34">
            <v>488141</v>
          </cell>
          <cell r="L34">
            <v>16672.060000000001</v>
          </cell>
          <cell r="N34">
            <v>16672.060000000001</v>
          </cell>
          <cell r="P34">
            <v>1356.52</v>
          </cell>
        </row>
        <row r="35">
          <cell r="C35" t="str">
            <v>Texas State University</v>
          </cell>
          <cell r="D35">
            <v>512358</v>
          </cell>
          <cell r="E35">
            <v>313495</v>
          </cell>
          <cell r="F35">
            <v>825853</v>
          </cell>
          <cell r="G35">
            <v>64739</v>
          </cell>
          <cell r="H35">
            <v>5041</v>
          </cell>
          <cell r="I35">
            <v>3872</v>
          </cell>
          <cell r="J35">
            <v>0</v>
          </cell>
          <cell r="K35">
            <v>899505</v>
          </cell>
          <cell r="L35">
            <v>30667.279999999999</v>
          </cell>
          <cell r="N35">
            <v>30667.279999999999</v>
          </cell>
          <cell r="P35">
            <v>2179.29</v>
          </cell>
        </row>
        <row r="36">
          <cell r="C36" t="str">
            <v>SUL ROSS RIO GRANDE COLLEGE</v>
          </cell>
          <cell r="D36">
            <v>1051</v>
          </cell>
          <cell r="E36">
            <v>13322</v>
          </cell>
          <cell r="F36">
            <v>14373</v>
          </cell>
          <cell r="G36">
            <v>2853</v>
          </cell>
          <cell r="H36">
            <v>0</v>
          </cell>
          <cell r="I36">
            <v>0</v>
          </cell>
          <cell r="J36">
            <v>0</v>
          </cell>
          <cell r="K36">
            <v>17226</v>
          </cell>
          <cell r="L36">
            <v>597.98</v>
          </cell>
          <cell r="N36">
            <v>597.98</v>
          </cell>
          <cell r="P36">
            <v>64.349999999999994</v>
          </cell>
        </row>
        <row r="37">
          <cell r="C37" t="str">
            <v>Sul Ross State University</v>
          </cell>
          <cell r="D37">
            <v>25740</v>
          </cell>
          <cell r="E37">
            <v>7387</v>
          </cell>
          <cell r="F37">
            <v>33127</v>
          </cell>
          <cell r="G37">
            <v>10144</v>
          </cell>
          <cell r="H37">
            <v>0</v>
          </cell>
          <cell r="I37">
            <v>0</v>
          </cell>
          <cell r="J37">
            <v>0</v>
          </cell>
          <cell r="K37">
            <v>43271</v>
          </cell>
          <cell r="L37">
            <v>1526.9</v>
          </cell>
          <cell r="N37">
            <v>1526.9</v>
          </cell>
          <cell r="O37">
            <v>2124.88</v>
          </cell>
          <cell r="P37">
            <v>200.92000000000002</v>
          </cell>
          <cell r="Q37">
            <v>265.27</v>
          </cell>
          <cell r="S37">
            <v>0</v>
          </cell>
        </row>
        <row r="38">
          <cell r="C38" t="str">
            <v>Texas Tech University</v>
          </cell>
          <cell r="D38">
            <v>485733</v>
          </cell>
          <cell r="E38">
            <v>272991</v>
          </cell>
          <cell r="F38">
            <v>758724</v>
          </cell>
          <cell r="G38">
            <v>66223</v>
          </cell>
          <cell r="H38">
            <v>41222</v>
          </cell>
          <cell r="I38">
            <v>18521</v>
          </cell>
          <cell r="J38">
            <v>0</v>
          </cell>
          <cell r="K38">
            <v>884690</v>
          </cell>
          <cell r="L38">
            <v>31111.91</v>
          </cell>
          <cell r="N38">
            <v>31111.91</v>
          </cell>
          <cell r="P38">
            <v>3411.62</v>
          </cell>
        </row>
        <row r="39">
          <cell r="C39" t="str">
            <v>Angelo State University</v>
          </cell>
          <cell r="D39">
            <v>98349</v>
          </cell>
          <cell r="E39">
            <v>43243</v>
          </cell>
          <cell r="F39">
            <v>141592</v>
          </cell>
          <cell r="G39">
            <v>16147</v>
          </cell>
          <cell r="H39">
            <v>0</v>
          </cell>
          <cell r="I39">
            <v>2146</v>
          </cell>
          <cell r="J39">
            <v>0</v>
          </cell>
          <cell r="K39">
            <v>159885</v>
          </cell>
          <cell r="L39">
            <v>5481.94</v>
          </cell>
          <cell r="N39">
            <v>5481.94</v>
          </cell>
          <cell r="P39">
            <v>574.16999999999996</v>
          </cell>
        </row>
        <row r="40">
          <cell r="C40" t="str">
            <v>University of North Texas</v>
          </cell>
          <cell r="D40">
            <v>446956</v>
          </cell>
          <cell r="E40">
            <v>327463</v>
          </cell>
          <cell r="F40">
            <v>774419</v>
          </cell>
          <cell r="G40">
            <v>73777</v>
          </cell>
          <cell r="H40">
            <v>24335</v>
          </cell>
          <cell r="I40">
            <v>1439</v>
          </cell>
          <cell r="J40">
            <v>0</v>
          </cell>
          <cell r="K40">
            <v>873970</v>
          </cell>
          <cell r="L40">
            <v>30299.91</v>
          </cell>
          <cell r="N40">
            <v>30299.91</v>
          </cell>
          <cell r="P40">
            <v>2269.58</v>
          </cell>
        </row>
        <row r="41">
          <cell r="C41" t="str">
            <v>University of North Texas at Dallas</v>
          </cell>
          <cell r="D41">
            <v>16656</v>
          </cell>
          <cell r="E41">
            <v>25509</v>
          </cell>
          <cell r="F41">
            <v>42165</v>
          </cell>
          <cell r="G41">
            <v>4695</v>
          </cell>
          <cell r="H41">
            <v>0</v>
          </cell>
          <cell r="I41">
            <v>0</v>
          </cell>
          <cell r="J41">
            <v>0</v>
          </cell>
          <cell r="K41">
            <v>46860</v>
          </cell>
          <cell r="L41">
            <v>1601.13</v>
          </cell>
          <cell r="N41">
            <v>1601.13</v>
          </cell>
          <cell r="P41">
            <v>287.27999999999997</v>
          </cell>
        </row>
        <row r="42">
          <cell r="C42" t="str">
            <v>Midwestern State University</v>
          </cell>
          <cell r="D42">
            <v>79508</v>
          </cell>
          <cell r="E42">
            <v>46958</v>
          </cell>
          <cell r="F42">
            <v>126466</v>
          </cell>
          <cell r="G42">
            <v>9407</v>
          </cell>
          <cell r="H42">
            <v>0</v>
          </cell>
          <cell r="I42">
            <v>0</v>
          </cell>
          <cell r="J42">
            <v>0</v>
          </cell>
          <cell r="K42">
            <v>135873</v>
          </cell>
          <cell r="L42">
            <v>4607.49</v>
          </cell>
          <cell r="N42">
            <v>4607.49</v>
          </cell>
          <cell r="P42">
            <v>511.28999999999996</v>
          </cell>
        </row>
        <row r="43">
          <cell r="C43" t="str">
            <v>Stephen F. Austin State University</v>
          </cell>
          <cell r="D43">
            <v>183974</v>
          </cell>
          <cell r="E43">
            <v>101990</v>
          </cell>
          <cell r="F43">
            <v>285964</v>
          </cell>
          <cell r="G43">
            <v>26815</v>
          </cell>
          <cell r="H43">
            <v>1265</v>
          </cell>
          <cell r="I43">
            <v>0</v>
          </cell>
          <cell r="J43">
            <v>0</v>
          </cell>
          <cell r="K43">
            <v>314044</v>
          </cell>
          <cell r="L43">
            <v>10719.7</v>
          </cell>
          <cell r="N43">
            <v>10719.7</v>
          </cell>
          <cell r="P43">
            <v>1170.46</v>
          </cell>
        </row>
        <row r="44">
          <cell r="C44" t="str">
            <v>Texas Southern University</v>
          </cell>
          <cell r="D44">
            <v>129088</v>
          </cell>
          <cell r="E44">
            <v>49043</v>
          </cell>
          <cell r="F44">
            <v>178131</v>
          </cell>
          <cell r="G44">
            <v>18370</v>
          </cell>
          <cell r="H44">
            <v>2945</v>
          </cell>
          <cell r="I44">
            <v>29141</v>
          </cell>
          <cell r="J44">
            <v>0</v>
          </cell>
          <cell r="K44">
            <v>228587</v>
          </cell>
          <cell r="L44">
            <v>8080.94</v>
          </cell>
          <cell r="N44">
            <v>8080.94</v>
          </cell>
          <cell r="P44">
            <v>918.94</v>
          </cell>
        </row>
        <row r="45">
          <cell r="C45" t="str">
            <v>Texas Woman's University</v>
          </cell>
          <cell r="D45">
            <v>119823</v>
          </cell>
          <cell r="E45">
            <v>113193</v>
          </cell>
          <cell r="F45">
            <v>233016</v>
          </cell>
          <cell r="G45">
            <v>75148</v>
          </cell>
          <cell r="H45">
            <v>10177</v>
          </cell>
          <cell r="I45">
            <v>9388</v>
          </cell>
          <cell r="J45">
            <v>0</v>
          </cell>
          <cell r="K45">
            <v>327729</v>
          </cell>
          <cell r="L45">
            <v>11854.92</v>
          </cell>
          <cell r="N45">
            <v>11854.92</v>
          </cell>
          <cell r="P45">
            <v>1295.8600000000001</v>
          </cell>
        </row>
        <row r="46">
          <cell r="C46" t="str">
            <v>UNT School of Law</v>
          </cell>
          <cell r="D46">
            <v>0</v>
          </cell>
          <cell r="E46">
            <v>0</v>
          </cell>
          <cell r="F46">
            <v>0</v>
          </cell>
          <cell r="G46">
            <v>0</v>
          </cell>
          <cell r="H46">
            <v>0</v>
          </cell>
          <cell r="I46">
            <v>4270</v>
          </cell>
          <cell r="J46">
            <v>0</v>
          </cell>
          <cell r="K46">
            <v>4270</v>
          </cell>
          <cell r="L46">
            <v>177.92</v>
          </cell>
        </row>
        <row r="48">
          <cell r="C48" t="str">
            <v>TOTAL</v>
          </cell>
          <cell r="D48">
            <v>6991731</v>
          </cell>
          <cell r="E48">
            <v>5174202</v>
          </cell>
          <cell r="F48">
            <v>12165933</v>
          </cell>
          <cell r="G48">
            <v>1722926</v>
          </cell>
          <cell r="H48">
            <v>358763</v>
          </cell>
          <cell r="I48">
            <v>178080</v>
          </cell>
          <cell r="J48">
            <v>16110</v>
          </cell>
          <cell r="K48">
            <v>14441812</v>
          </cell>
          <cell r="L48">
            <v>505144.80999999988</v>
          </cell>
          <cell r="N48">
            <v>504966.8899999999</v>
          </cell>
          <cell r="P48">
            <v>47057.47</v>
          </cell>
        </row>
      </sheetData>
      <sheetData sheetId="1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Balancing"/>
      <sheetName val="TAMU Smmy (2)"/>
      <sheetName val="Summary (2)"/>
      <sheetName val="Healthcare"/>
      <sheetName val="System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 data.</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99"/>
      <sheetData sheetId="100"/>
      <sheetData sheetId="101"/>
      <sheetData sheetId="102"/>
      <sheetData sheetId="103"/>
      <sheetData sheetId="10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7.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3"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7"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2" Type="http://schemas.openxmlformats.org/officeDocument/2006/relationships/comments" Target="../comments2.xml"/><Relationship Id="rId2"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6"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1" Type="http://schemas.openxmlformats.org/officeDocument/2006/relationships/vmlDrawing" Target="../drawings/vmlDrawing2.vml"/><Relationship Id="rId5"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0" Type="http://schemas.openxmlformats.org/officeDocument/2006/relationships/printerSettings" Target="../printerSettings/printerSettings19.bin"/><Relationship Id="rId4"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9"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drawing" Target="../drawings/drawing3.xml"/><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comments" Target="../comments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vmlDrawing" Target="../drawings/vmlDrawing3.vml"/><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7.bin"/></Relationships>
</file>

<file path=xl/worksheets/_rels/sheet6.xml.rels><?xml version="1.0" encoding="UTF-8" standalone="yes"?>
<Relationships xmlns="http://schemas.openxmlformats.org/package/2006/relationships"><Relationship Id="rId8" Type="http://schemas.openxmlformats.org/officeDocument/2006/relationships/externalLinkPath" Target="file:///P:\Sources%20_%20Uses\HRI%20-%20Sources%20&amp;%20Uses%20FY%202015\0%20-%20HRI%20-%20S%20_%20U%20-%20FY%202015%20-%206.xlsx" TargetMode="External"/><Relationship Id="rId3" Type="http://schemas.openxmlformats.org/officeDocument/2006/relationships/externalLinkPath" Target="file:///P:\Sources%20_%20Uses\HRI%20-%20Sources%20&amp;%20Uses%20FY%202015\0%20-%20HRI%20-%20S%20_%20U%20-%20FY%202015%20-%206.xlsx" TargetMode="External"/><Relationship Id="rId7" Type="http://schemas.openxmlformats.org/officeDocument/2006/relationships/externalLinkPath" Target="file:///P:\Sources%20_%20Uses\HRI%20-%20Sources%20&amp;%20Uses%20FY%202015\0%20-%20HRI%20-%20S%20_%20U%20-%20FY%202015%20-%206.xlsx" TargetMode="External"/><Relationship Id="rId2" Type="http://schemas.openxmlformats.org/officeDocument/2006/relationships/externalLinkPath" Target="file:///P:\Sources%20_%20Uses\HRI%20-%20Sources%20&amp;%20Uses%20FY%202015\0%20-%20HRI%20-%20S%20_%20U%20-%20FY%202015%20-%206.xlsx" TargetMode="External"/><Relationship Id="rId1" Type="http://schemas.openxmlformats.org/officeDocument/2006/relationships/externalLinkPath" Target="file:///P:\Sources%20_%20Uses\HRI%20-%20Sources%20&amp;%20Uses%20FY%202015\0%20-%20HRI%20-%20S%20_%20U%20-%20FY%202015%20-%206.xlsx" TargetMode="External"/><Relationship Id="rId6" Type="http://schemas.openxmlformats.org/officeDocument/2006/relationships/externalLinkPath" Target="file:///P:\Sources%20_%20Uses\HRI%20-%20Sources%20&amp;%20Uses%20FY%202015\0%20-%20HRI%20-%20S%20_%20U%20-%20FY%202015%20-%206.xlsx" TargetMode="External"/><Relationship Id="rId11" Type="http://schemas.openxmlformats.org/officeDocument/2006/relationships/printerSettings" Target="../printerSettings/printerSettings6.bin"/><Relationship Id="rId5" Type="http://schemas.openxmlformats.org/officeDocument/2006/relationships/externalLinkPath" Target="file:///P:\Sources%20_%20Uses\HRI%20-%20Sources%20&amp;%20Uses%20FY%202015\0%20-%20HRI%20-%20S%20_%20U%20-%20FY%202015%20-%206.xlsx" TargetMode="External"/><Relationship Id="rId10" Type="http://schemas.openxmlformats.org/officeDocument/2006/relationships/hyperlink" Target="mailto:joyce.jauer@cpa.texas.gov" TargetMode="External"/><Relationship Id="rId4" Type="http://schemas.openxmlformats.org/officeDocument/2006/relationships/externalLinkPath" Target="file:///P:\Sources%20_%20Uses\HRI%20-%20Sources%20&amp;%20Uses%20FY%202015\0%20-%20HRI%20-%20S%20_%20U%20-%20FY%202015%20-%206.xlsx" TargetMode="External"/><Relationship Id="rId9" Type="http://schemas.openxmlformats.org/officeDocument/2006/relationships/externalLinkPath" Target="file:///P:\Sources%20_%20Uses\HRI%20-%20Sources%20&amp;%20Uses%20FY%202015\0%20-%20HRI%20-%20S%20_%20U%20-%20FY%202015%20-%206.xlsx"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4.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7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783"/>
  <sheetViews>
    <sheetView showGridLines="0" tabSelected="1" workbookViewId="0">
      <selection activeCell="B4" sqref="B4"/>
    </sheetView>
  </sheetViews>
  <sheetFormatPr defaultRowHeight="12.75"/>
  <cols>
    <col min="1" max="1" width="3.140625" style="53" customWidth="1"/>
    <col min="2" max="2" width="52.140625" style="57" customWidth="1"/>
    <col min="3" max="3" width="8.7109375" style="376" customWidth="1"/>
    <col min="4" max="4" width="14" style="376" customWidth="1"/>
    <col min="5" max="5" width="7.140625" style="376" customWidth="1"/>
    <col min="6" max="6" width="9.140625" style="739"/>
    <col min="7" max="7" width="2" style="453" customWidth="1"/>
    <col min="8" max="8" width="25.7109375" style="53" customWidth="1"/>
    <col min="9" max="9" width="14.7109375" style="53" customWidth="1"/>
    <col min="10" max="10" width="28.85546875" style="53" customWidth="1"/>
    <col min="11" max="16384" width="9.140625" style="53"/>
  </cols>
  <sheetData>
    <row r="1" spans="1:10" ht="22.5" customHeight="1" thickBot="1">
      <c r="A1" s="102"/>
      <c r="B1" s="374" t="s">
        <v>1143</v>
      </c>
      <c r="C1" s="1191" t="s">
        <v>1144</v>
      </c>
      <c r="D1" s="1192"/>
      <c r="E1" s="1193"/>
      <c r="F1" s="53"/>
      <c r="G1" s="718"/>
    </row>
    <row r="2" spans="1:10">
      <c r="B2" s="71" t="s">
        <v>1498</v>
      </c>
      <c r="C2" s="718"/>
      <c r="D2" s="738" t="s">
        <v>1145</v>
      </c>
      <c r="E2" s="718"/>
    </row>
    <row r="3" spans="1:10">
      <c r="B3" s="71" t="s">
        <v>1704</v>
      </c>
      <c r="C3" s="718"/>
      <c r="D3" s="740" t="s">
        <v>1146</v>
      </c>
      <c r="E3" s="718"/>
    </row>
    <row r="4" spans="1:10" ht="13.5" thickBot="1">
      <c r="B4" s="1185">
        <v>43501</v>
      </c>
      <c r="C4" s="718"/>
      <c r="D4" s="740" t="s">
        <v>1147</v>
      </c>
      <c r="E4" s="718"/>
    </row>
    <row r="5" spans="1:10" ht="13.5" thickBot="1">
      <c r="D5" s="741"/>
      <c r="H5" s="1194" t="s">
        <v>1277</v>
      </c>
      <c r="I5" s="1195"/>
      <c r="J5" s="1196"/>
    </row>
    <row r="6" spans="1:10" ht="16.5" thickBot="1">
      <c r="B6" s="742" t="s">
        <v>1156</v>
      </c>
      <c r="C6" s="743" t="s">
        <v>1148</v>
      </c>
      <c r="D6" s="744" t="s">
        <v>161</v>
      </c>
      <c r="E6" s="743" t="s">
        <v>341</v>
      </c>
      <c r="F6" s="745" t="s">
        <v>1149</v>
      </c>
      <c r="G6" s="746"/>
      <c r="H6" s="1191" t="s">
        <v>1026</v>
      </c>
      <c r="I6" s="1192"/>
      <c r="J6" s="1193"/>
    </row>
    <row r="7" spans="1:10" ht="15">
      <c r="B7" s="747" t="s">
        <v>1155</v>
      </c>
      <c r="C7" s="444"/>
      <c r="D7" s="748"/>
      <c r="E7" s="444"/>
      <c r="H7" s="103" t="s">
        <v>226</v>
      </c>
      <c r="I7" s="104" t="s">
        <v>622</v>
      </c>
      <c r="J7" s="103" t="s">
        <v>623</v>
      </c>
    </row>
    <row r="8" spans="1:10" ht="15">
      <c r="B8" s="454"/>
      <c r="C8" s="444"/>
      <c r="D8" s="748"/>
      <c r="E8" s="444"/>
      <c r="H8" s="103"/>
      <c r="I8" s="104"/>
      <c r="J8" s="103"/>
    </row>
    <row r="9" spans="1:10" ht="15.75">
      <c r="B9" s="749"/>
      <c r="C9" s="750"/>
      <c r="D9" s="751"/>
      <c r="E9" s="750"/>
      <c r="H9" s="718"/>
      <c r="I9" s="718"/>
      <c r="J9" s="718"/>
    </row>
    <row r="10" spans="1:10">
      <c r="B10" s="364" t="s">
        <v>93</v>
      </c>
      <c r="C10" s="743" t="s">
        <v>1148</v>
      </c>
      <c r="D10" s="744" t="s">
        <v>161</v>
      </c>
      <c r="E10" s="743" t="s">
        <v>341</v>
      </c>
      <c r="F10" s="745" t="s">
        <v>1149</v>
      </c>
      <c r="G10" s="746"/>
      <c r="H10" s="596" t="str">
        <f>'SWM FGD'!$P$103</f>
        <v>John Schmidt</v>
      </c>
      <c r="I10" s="596" t="str">
        <f>'SWM FGD'!$R$103</f>
        <v>214-648-0888</v>
      </c>
      <c r="J10" s="829" t="str">
        <f>HYPERLINK("Mailto:"&amp;'SWM FGD'!$U$103,'SWM FGD'!$U$103)</f>
        <v>John.Schmidt@UTSouthwestern.edu</v>
      </c>
    </row>
    <row r="11" spans="1:10">
      <c r="B11" s="364" t="s">
        <v>97</v>
      </c>
      <c r="C11" s="743" t="s">
        <v>1148</v>
      </c>
      <c r="D11" s="744" t="s">
        <v>161</v>
      </c>
      <c r="E11" s="743" t="s">
        <v>341</v>
      </c>
      <c r="F11" s="745" t="s">
        <v>1149</v>
      </c>
      <c r="G11" s="746"/>
      <c r="H11" s="596" t="str">
        <f>'MBG FGD'!$P$103</f>
        <v>Craig Elmore</v>
      </c>
      <c r="I11" s="596" t="str">
        <f>'MBG FGD'!$R$103</f>
        <v>409-772-7525</v>
      </c>
      <c r="J11" s="829" t="str">
        <f>HYPERLINK("Mailto:"&amp;'MBG FGD'!$U$103,'MBG FGD'!$U$103)</f>
        <v>crelmore@utmb.edu</v>
      </c>
    </row>
    <row r="12" spans="1:10">
      <c r="B12" s="364" t="s">
        <v>98</v>
      </c>
      <c r="C12" s="752" t="s">
        <v>1148</v>
      </c>
      <c r="D12" s="744" t="s">
        <v>161</v>
      </c>
      <c r="E12" s="743" t="s">
        <v>341</v>
      </c>
      <c r="F12" s="745" t="s">
        <v>1149</v>
      </c>
      <c r="G12" s="746"/>
      <c r="H12" s="596" t="str">
        <f>'HSH FGD'!$P$103</f>
        <v>Scott Barnett</v>
      </c>
      <c r="I12" s="596" t="str">
        <f>'HSH FGD'!$R$103</f>
        <v>713/500-4915</v>
      </c>
      <c r="J12" s="829" t="str">
        <f>HYPERLINK("Mailto:"&amp;'HSH FGD'!$U$103,'HSH FGD'!$U$103)</f>
        <v>Scott.Barnett@uth.tmc.edu</v>
      </c>
    </row>
    <row r="13" spans="1:10">
      <c r="B13" s="364" t="s">
        <v>99</v>
      </c>
      <c r="C13" s="752" t="s">
        <v>1148</v>
      </c>
      <c r="D13" s="744" t="s">
        <v>161</v>
      </c>
      <c r="E13" s="743" t="s">
        <v>341</v>
      </c>
      <c r="F13" s="745" t="s">
        <v>1149</v>
      </c>
      <c r="G13" s="746"/>
      <c r="H13" s="596" t="str">
        <f>'HSSA FGD'!$P$103</f>
        <v>Yinwen Li</v>
      </c>
      <c r="I13" s="596" t="str">
        <f>'HSSA FGD'!$R$103</f>
        <v>(210) 562-6268</v>
      </c>
      <c r="J13" s="829" t="str">
        <f>HYPERLINK("Mailto:"&amp;'HSSA FGD'!$U$103,'HSSA FGD'!$U$103)</f>
        <v>LIY2@uthscsa.edu</v>
      </c>
    </row>
    <row r="14" spans="1:10">
      <c r="B14" s="364" t="s">
        <v>100</v>
      </c>
      <c r="C14" s="752" t="s">
        <v>1148</v>
      </c>
      <c r="D14" s="744" t="s">
        <v>161</v>
      </c>
      <c r="E14" s="743" t="s">
        <v>341</v>
      </c>
      <c r="F14" s="745" t="s">
        <v>1149</v>
      </c>
      <c r="G14" s="746"/>
      <c r="H14" s="596" t="str">
        <f>'MDA FGD'!$P$103</f>
        <v>MARIA AGNES  D. CRUZ</v>
      </c>
      <c r="I14" s="596" t="str">
        <f>'MDA FGD'!$R$103</f>
        <v>713-745-9518</v>
      </c>
      <c r="J14" s="829" t="str">
        <f>HYPERLINK("Mailto:"&amp;'MDA FGD'!$U$103,'MDA FGD'!$U$103)</f>
        <v>mcruz@mdanderson.org</v>
      </c>
    </row>
    <row r="15" spans="1:10">
      <c r="B15" s="910" t="s">
        <v>1297</v>
      </c>
      <c r="C15" s="752" t="s">
        <v>1148</v>
      </c>
      <c r="D15" s="753" t="s">
        <v>161</v>
      </c>
      <c r="E15" s="754" t="s">
        <v>341</v>
      </c>
      <c r="F15" s="752" t="s">
        <v>1149</v>
      </c>
      <c r="G15" s="746"/>
      <c r="H15" s="596" t="str">
        <f>'THC FGD'!$P$103</f>
        <v>Natalie Harms</v>
      </c>
      <c r="I15" s="596" t="str">
        <f>'THC FGD'!$R$103</f>
        <v>(903) 877-7855</v>
      </c>
      <c r="J15" s="829" t="str">
        <f>HYPERLINK("Mailto:"&amp;'THC FGD'!$U$103,'THC FGD'!$U$103)</f>
        <v>natalie.harms@uthct.edu</v>
      </c>
    </row>
    <row r="16" spans="1:10">
      <c r="B16" s="364" t="s">
        <v>102</v>
      </c>
      <c r="C16" s="752" t="s">
        <v>1148</v>
      </c>
      <c r="D16" s="753" t="s">
        <v>161</v>
      </c>
      <c r="E16" s="743" t="s">
        <v>341</v>
      </c>
      <c r="F16" s="745" t="s">
        <v>1149</v>
      </c>
      <c r="G16" s="746"/>
      <c r="H16" s="596" t="str">
        <f>'TAMHSC FGD'!$P$103</f>
        <v>Monica Poehl</v>
      </c>
      <c r="I16" s="596" t="str">
        <f>'TAMHSC FGD'!$R$103</f>
        <v>979-458-6090</v>
      </c>
      <c r="J16" s="829" t="str">
        <f>HYPERLINK("Mailto:"&amp;'TAMHSC FGD'!$U$103,'TAMHSC FGD'!$U$103)</f>
        <v>mpoehl@tamus.edu</v>
      </c>
    </row>
    <row r="17" spans="2:10">
      <c r="B17" s="364" t="s">
        <v>191</v>
      </c>
      <c r="C17" s="752" t="s">
        <v>1148</v>
      </c>
      <c r="D17" s="753" t="s">
        <v>161</v>
      </c>
      <c r="E17" s="754" t="s">
        <v>341</v>
      </c>
      <c r="F17" s="752" t="s">
        <v>1149</v>
      </c>
      <c r="G17" s="746"/>
      <c r="H17" s="596" t="str">
        <f>'UNTHSC FGD'!$P$103</f>
        <v>Julie Meisinger</v>
      </c>
      <c r="I17" s="596" t="str">
        <f>'UNTHSC FGD'!$R$103</f>
        <v>817-735-2609</v>
      </c>
      <c r="J17" s="829" t="str">
        <f>HYPERLINK("Mailto:"&amp;'UNTHSC FGD'!$U$103,'UNTHSC FGD'!$U$103)</f>
        <v>julie.meisinger@untsystem.edu</v>
      </c>
    </row>
    <row r="18" spans="2:10">
      <c r="B18" s="364" t="s">
        <v>106</v>
      </c>
      <c r="C18" s="752" t="s">
        <v>1148</v>
      </c>
      <c r="D18" s="753" t="s">
        <v>161</v>
      </c>
      <c r="E18" s="754" t="s">
        <v>341</v>
      </c>
      <c r="F18" s="752" t="s">
        <v>1149</v>
      </c>
      <c r="H18" s="596" t="str">
        <f>'TTUHSC FGD'!$P$103</f>
        <v>Rebecca Aguilar</v>
      </c>
      <c r="I18" s="596" t="str">
        <f>'TTUHSC FGD'!$R$103</f>
        <v>(806) 743-7381</v>
      </c>
      <c r="J18" s="829" t="str">
        <f>HYPERLINK("Mailto:"&amp;'TTUHSC FGD'!$U$103,'TTUHSC FGD'!$U$103)</f>
        <v>rebecca.aguilar@ttuhsc.edu</v>
      </c>
    </row>
    <row r="19" spans="2:10">
      <c r="B19" s="910" t="s">
        <v>1230</v>
      </c>
      <c r="C19" s="752" t="s">
        <v>1148</v>
      </c>
      <c r="D19" s="753" t="s">
        <v>161</v>
      </c>
      <c r="E19" s="754" t="s">
        <v>341</v>
      </c>
      <c r="F19" s="752" t="s">
        <v>1149</v>
      </c>
      <c r="H19" s="596" t="str">
        <f>'TTUHSCEP FGD'!$P$103</f>
        <v>Sandra Tapia</v>
      </c>
      <c r="I19" s="596" t="str">
        <f>'TTUHSCEP FGD'!$R$103</f>
        <v>915-215-4790</v>
      </c>
      <c r="J19" s="829" t="str">
        <f>HYPERLINK("Mailto:"&amp;'TTUHSCEP FGD'!$U$103,'TTUHSCEP FGD'!$U$103)</f>
        <v>Sandra.tapia@ttuhsc.edu</v>
      </c>
    </row>
    <row r="20" spans="2:10">
      <c r="B20" s="910" t="s">
        <v>1315</v>
      </c>
      <c r="C20" s="752" t="s">
        <v>1148</v>
      </c>
      <c r="D20" s="753" t="s">
        <v>161</v>
      </c>
      <c r="E20" s="754" t="s">
        <v>341</v>
      </c>
      <c r="F20" s="752" t="s">
        <v>1149</v>
      </c>
      <c r="H20" s="596" t="str">
        <f>'AUSM FGD'!$P$103</f>
        <v>Marcy Lowther</v>
      </c>
      <c r="I20" s="596" t="str">
        <f>'AUSM FGD'!$R$103</f>
        <v>512-471-2808</v>
      </c>
      <c r="J20" s="829" t="str">
        <f>HYPERLINK("Mailto:"&amp;'AUSM FGD'!$U$103,'AUSM FGD'!$U$103)</f>
        <v>mlowther@austin.utexas.edu</v>
      </c>
    </row>
    <row r="21" spans="2:10" ht="13.5" thickBot="1">
      <c r="B21" s="364" t="s">
        <v>1316</v>
      </c>
      <c r="C21" s="752" t="s">
        <v>1148</v>
      </c>
      <c r="D21" s="758" t="s">
        <v>161</v>
      </c>
      <c r="E21" s="754" t="s">
        <v>341</v>
      </c>
      <c r="F21" s="752" t="s">
        <v>1149</v>
      </c>
      <c r="H21" s="596" t="str">
        <f>'RGVM FGD'!$P$103</f>
        <v>Lilia M. St. Clair</v>
      </c>
      <c r="I21" s="596" t="str">
        <f>'RGVM FGD'!$R$103</f>
        <v>956-665-7906</v>
      </c>
      <c r="J21" s="829" t="str">
        <f>HYPERLINK("Mailto:"&amp;'RGVM FGD'!$U$103,'RGVM FGD'!$U$103)</f>
        <v>lilia.stclair@utrgv.edu</v>
      </c>
    </row>
    <row r="22" spans="2:10" ht="15">
      <c r="C22" s="444"/>
      <c r="D22" s="444"/>
      <c r="E22" s="444"/>
      <c r="H22" s="596"/>
      <c r="I22" s="596"/>
      <c r="J22" s="596"/>
    </row>
    <row r="23" spans="2:10" ht="15.75">
      <c r="B23" s="755" t="s">
        <v>1150</v>
      </c>
      <c r="C23" s="444"/>
      <c r="D23" s="444"/>
      <c r="E23" s="444"/>
      <c r="H23" s="102"/>
      <c r="I23" s="102"/>
      <c r="J23" s="102"/>
    </row>
    <row r="24" spans="2:10" ht="15">
      <c r="B24" s="756" t="s">
        <v>1151</v>
      </c>
      <c r="C24" s="444"/>
      <c r="D24" s="444"/>
      <c r="E24" s="444"/>
      <c r="H24" s="102"/>
      <c r="I24" s="102"/>
      <c r="J24" s="102"/>
    </row>
    <row r="25" spans="2:10" ht="15">
      <c r="B25" s="756" t="s">
        <v>1152</v>
      </c>
      <c r="C25" s="444"/>
      <c r="D25" s="444"/>
      <c r="E25" s="444"/>
      <c r="H25" s="102"/>
      <c r="I25" s="102"/>
      <c r="J25" s="102"/>
    </row>
    <row r="26" spans="2:10" ht="15">
      <c r="B26" s="756" t="s">
        <v>1153</v>
      </c>
      <c r="C26" s="444"/>
      <c r="D26" s="444"/>
      <c r="E26" s="444"/>
      <c r="H26" s="102"/>
      <c r="I26" s="102"/>
      <c r="J26" s="102"/>
    </row>
    <row r="27" spans="2:10" ht="15">
      <c r="B27" s="454"/>
      <c r="C27" s="444"/>
      <c r="D27" s="444"/>
      <c r="E27" s="444"/>
      <c r="H27" s="102"/>
      <c r="I27" s="102"/>
      <c r="J27" s="102"/>
    </row>
    <row r="28" spans="2:10" ht="15.75">
      <c r="B28" s="755" t="s">
        <v>1154</v>
      </c>
      <c r="C28" s="444"/>
      <c r="D28" s="444"/>
      <c r="E28" s="444"/>
      <c r="H28" s="102"/>
      <c r="I28" s="102"/>
      <c r="J28" s="102"/>
    </row>
    <row r="29" spans="2:10">
      <c r="B29" s="747"/>
      <c r="H29" s="102"/>
      <c r="I29" s="102"/>
      <c r="J29" s="102"/>
    </row>
    <row r="30" spans="2:10">
      <c r="B30" s="747" t="s">
        <v>1706</v>
      </c>
      <c r="H30" s="102"/>
      <c r="I30" s="102"/>
      <c r="J30" s="102"/>
    </row>
    <row r="31" spans="2:10">
      <c r="B31" s="747" t="s">
        <v>1707</v>
      </c>
      <c r="H31" s="102"/>
      <c r="I31" s="102"/>
      <c r="J31" s="102"/>
    </row>
    <row r="32" spans="2:10">
      <c r="B32" s="747" t="s">
        <v>1708</v>
      </c>
      <c r="H32" s="102"/>
      <c r="I32" s="102"/>
      <c r="J32" s="102"/>
    </row>
    <row r="33" spans="2:10">
      <c r="B33" s="747" t="s">
        <v>1043</v>
      </c>
      <c r="H33" s="102"/>
      <c r="I33" s="102"/>
      <c r="J33" s="102"/>
    </row>
    <row r="34" spans="2:10">
      <c r="B34" s="747" t="s">
        <v>1709</v>
      </c>
      <c r="H34" s="102"/>
      <c r="I34" s="102"/>
      <c r="J34" s="102"/>
    </row>
    <row r="35" spans="2:10" ht="15">
      <c r="B35" s="747" t="s">
        <v>1710</v>
      </c>
      <c r="C35" s="757"/>
      <c r="D35" s="757"/>
      <c r="E35" s="757"/>
      <c r="H35" s="102"/>
      <c r="I35" s="102"/>
      <c r="J35" s="102"/>
    </row>
    <row r="36" spans="2:10">
      <c r="B36" s="747" t="s">
        <v>1714</v>
      </c>
      <c r="H36" s="102"/>
      <c r="I36" s="102"/>
      <c r="J36" s="102"/>
    </row>
    <row r="37" spans="2:10">
      <c r="B37" s="1190" t="s">
        <v>1711</v>
      </c>
      <c r="H37" s="102"/>
      <c r="I37" s="102"/>
      <c r="J37" s="102"/>
    </row>
    <row r="38" spans="2:10">
      <c r="B38" s="1190" t="s">
        <v>1712</v>
      </c>
      <c r="H38" s="102"/>
      <c r="I38" s="102"/>
      <c r="J38" s="102"/>
    </row>
    <row r="39" spans="2:10">
      <c r="B39" s="1190" t="s">
        <v>1716</v>
      </c>
      <c r="H39" s="105"/>
      <c r="I39" s="102"/>
      <c r="J39" s="102"/>
    </row>
    <row r="40" spans="2:10">
      <c r="B40" s="1190" t="s">
        <v>1713</v>
      </c>
      <c r="H40" s="102"/>
      <c r="I40" s="102"/>
      <c r="J40" s="102"/>
    </row>
    <row r="41" spans="2:10">
      <c r="H41" s="102"/>
      <c r="I41" s="102"/>
      <c r="J41" s="102"/>
    </row>
    <row r="42" spans="2:10">
      <c r="H42" s="102"/>
      <c r="I42" s="102"/>
      <c r="J42" s="102"/>
    </row>
    <row r="43" spans="2:10">
      <c r="H43" s="102"/>
      <c r="I43" s="102"/>
      <c r="J43" s="102"/>
    </row>
    <row r="44" spans="2:10">
      <c r="H44" s="102"/>
      <c r="I44" s="102"/>
      <c r="J44" s="102"/>
    </row>
    <row r="45" spans="2:10">
      <c r="H45" s="102"/>
      <c r="I45" s="102"/>
      <c r="J45" s="102"/>
    </row>
    <row r="46" spans="2:10">
      <c r="H46" s="102"/>
      <c r="I46" s="102"/>
      <c r="J46" s="102"/>
    </row>
    <row r="47" spans="2:10">
      <c r="H47" s="102"/>
      <c r="I47" s="102"/>
      <c r="J47" s="102"/>
    </row>
    <row r="48" spans="2:10">
      <c r="H48" s="102"/>
      <c r="I48" s="102"/>
      <c r="J48" s="102"/>
    </row>
    <row r="49" spans="8:10">
      <c r="H49" s="102"/>
      <c r="I49" s="102"/>
      <c r="J49" s="102"/>
    </row>
    <row r="50" spans="8:10">
      <c r="H50" s="102"/>
      <c r="I50" s="102"/>
      <c r="J50" s="102"/>
    </row>
    <row r="51" spans="8:10">
      <c r="H51" s="102"/>
      <c r="I51" s="102"/>
      <c r="J51" s="102"/>
    </row>
    <row r="52" spans="8:10">
      <c r="H52" s="102"/>
      <c r="I52" s="102"/>
      <c r="J52" s="102"/>
    </row>
    <row r="53" spans="8:10">
      <c r="H53" s="102"/>
      <c r="I53" s="102"/>
      <c r="J53" s="102"/>
    </row>
    <row r="54" spans="8:10">
      <c r="H54" s="102"/>
      <c r="I54" s="102"/>
      <c r="J54" s="102"/>
    </row>
    <row r="55" spans="8:10">
      <c r="H55" s="102"/>
      <c r="I55" s="102"/>
      <c r="J55" s="102"/>
    </row>
    <row r="56" spans="8:10">
      <c r="H56" s="102"/>
      <c r="I56" s="102"/>
      <c r="J56" s="102"/>
    </row>
    <row r="57" spans="8:10">
      <c r="H57" s="102"/>
      <c r="I57" s="102"/>
      <c r="J57" s="102"/>
    </row>
    <row r="58" spans="8:10">
      <c r="H58" s="102"/>
      <c r="I58" s="102"/>
      <c r="J58" s="102"/>
    </row>
    <row r="59" spans="8:10">
      <c r="H59" s="102"/>
      <c r="I59" s="102"/>
      <c r="J59" s="102"/>
    </row>
    <row r="60" spans="8:10">
      <c r="H60" s="102"/>
      <c r="I60" s="102"/>
      <c r="J60" s="102"/>
    </row>
    <row r="61" spans="8:10">
      <c r="H61" s="102"/>
      <c r="I61" s="102"/>
      <c r="J61" s="102"/>
    </row>
    <row r="62" spans="8:10">
      <c r="H62" s="102"/>
      <c r="I62" s="102"/>
      <c r="J62" s="102"/>
    </row>
    <row r="63" spans="8:10">
      <c r="H63" s="102"/>
      <c r="I63" s="102"/>
      <c r="J63" s="102"/>
    </row>
    <row r="64" spans="8:10">
      <c r="H64" s="102"/>
      <c r="I64" s="102"/>
      <c r="J64" s="102"/>
    </row>
    <row r="65" spans="8:10">
      <c r="H65" s="102"/>
      <c r="I65" s="102"/>
      <c r="J65" s="102"/>
    </row>
    <row r="66" spans="8:10">
      <c r="H66" s="102"/>
      <c r="I66" s="102"/>
      <c r="J66" s="102"/>
    </row>
    <row r="67" spans="8:10">
      <c r="H67" s="102"/>
      <c r="I67" s="102"/>
      <c r="J67" s="102"/>
    </row>
    <row r="68" spans="8:10">
      <c r="H68" s="102"/>
      <c r="I68" s="102"/>
      <c r="J68" s="102"/>
    </row>
    <row r="69" spans="8:10">
      <c r="H69" s="102"/>
      <c r="I69" s="102"/>
      <c r="J69" s="102"/>
    </row>
    <row r="70" spans="8:10">
      <c r="H70" s="102"/>
      <c r="I70" s="102"/>
      <c r="J70" s="102"/>
    </row>
    <row r="71" spans="8:10">
      <c r="H71" s="102"/>
      <c r="I71" s="102"/>
      <c r="J71" s="102"/>
    </row>
    <row r="72" spans="8:10">
      <c r="H72" s="102"/>
      <c r="I72" s="102"/>
      <c r="J72" s="102"/>
    </row>
    <row r="73" spans="8:10">
      <c r="H73" s="102"/>
      <c r="I73" s="102"/>
      <c r="J73" s="102"/>
    </row>
    <row r="74" spans="8:10">
      <c r="H74" s="102"/>
      <c r="I74" s="102"/>
      <c r="J74" s="102"/>
    </row>
    <row r="75" spans="8:10">
      <c r="H75" s="102"/>
      <c r="I75" s="102"/>
      <c r="J75" s="102"/>
    </row>
    <row r="76" spans="8:10">
      <c r="H76" s="102"/>
      <c r="I76" s="102"/>
      <c r="J76" s="102"/>
    </row>
    <row r="77" spans="8:10">
      <c r="H77" s="102"/>
      <c r="I77" s="102"/>
      <c r="J77" s="102"/>
    </row>
    <row r="78" spans="8:10">
      <c r="H78" s="102"/>
      <c r="I78" s="102"/>
      <c r="J78" s="102"/>
    </row>
    <row r="79" spans="8:10">
      <c r="H79" s="102"/>
      <c r="I79" s="102"/>
      <c r="J79" s="102"/>
    </row>
    <row r="80" spans="8:10">
      <c r="H80" s="102"/>
      <c r="I80" s="102"/>
      <c r="J80" s="102"/>
    </row>
    <row r="81" spans="8:10">
      <c r="H81" s="102"/>
      <c r="I81" s="102"/>
      <c r="J81" s="102"/>
    </row>
    <row r="82" spans="8:10">
      <c r="H82" s="102"/>
      <c r="I82" s="102"/>
      <c r="J82" s="102"/>
    </row>
    <row r="83" spans="8:10">
      <c r="H83" s="102"/>
      <c r="I83" s="102"/>
      <c r="J83" s="102"/>
    </row>
    <row r="84" spans="8:10">
      <c r="H84" s="102"/>
      <c r="I84" s="102"/>
      <c r="J84" s="102"/>
    </row>
    <row r="85" spans="8:10">
      <c r="H85" s="102"/>
      <c r="I85" s="102"/>
      <c r="J85" s="102"/>
    </row>
    <row r="86" spans="8:10">
      <c r="H86" s="102"/>
      <c r="I86" s="102"/>
      <c r="J86" s="102"/>
    </row>
    <row r="87" spans="8:10">
      <c r="H87" s="102"/>
      <c r="I87" s="102"/>
      <c r="J87" s="102"/>
    </row>
    <row r="88" spans="8:10">
      <c r="H88" s="102"/>
      <c r="I88" s="102"/>
      <c r="J88" s="102"/>
    </row>
    <row r="89" spans="8:10">
      <c r="H89" s="102"/>
      <c r="I89" s="102"/>
      <c r="J89" s="102"/>
    </row>
    <row r="90" spans="8:10">
      <c r="H90" s="102"/>
      <c r="I90" s="102"/>
      <c r="J90" s="102"/>
    </row>
    <row r="91" spans="8:10">
      <c r="H91" s="102"/>
      <c r="I91" s="102"/>
      <c r="J91" s="102"/>
    </row>
    <row r="92" spans="8:10">
      <c r="H92" s="102"/>
      <c r="I92" s="102"/>
      <c r="J92" s="102"/>
    </row>
    <row r="93" spans="8:10">
      <c r="H93" s="102"/>
      <c r="I93" s="102"/>
      <c r="J93" s="102"/>
    </row>
    <row r="94" spans="8:10">
      <c r="H94" s="102"/>
      <c r="I94" s="102"/>
      <c r="J94" s="102"/>
    </row>
    <row r="95" spans="8:10">
      <c r="H95" s="102"/>
      <c r="I95" s="102"/>
      <c r="J95" s="102"/>
    </row>
    <row r="96" spans="8:10">
      <c r="H96" s="102"/>
      <c r="I96" s="102"/>
      <c r="J96" s="102"/>
    </row>
    <row r="97" spans="8:10">
      <c r="H97" s="102"/>
      <c r="I97" s="102"/>
      <c r="J97" s="102"/>
    </row>
    <row r="98" spans="8:10">
      <c r="H98" s="102"/>
      <c r="I98" s="102"/>
      <c r="J98" s="102"/>
    </row>
    <row r="99" spans="8:10">
      <c r="H99" s="102"/>
      <c r="I99" s="102"/>
      <c r="J99" s="102"/>
    </row>
    <row r="100" spans="8:10">
      <c r="H100" s="102"/>
      <c r="I100" s="102"/>
      <c r="J100" s="102"/>
    </row>
    <row r="101" spans="8:10">
      <c r="H101" s="102"/>
      <c r="I101" s="102"/>
      <c r="J101" s="102"/>
    </row>
    <row r="102" spans="8:10">
      <c r="H102" s="102"/>
      <c r="I102" s="102"/>
      <c r="J102" s="102"/>
    </row>
    <row r="103" spans="8:10">
      <c r="H103" s="102"/>
      <c r="I103" s="102"/>
      <c r="J103" s="102"/>
    </row>
    <row r="104" spans="8:10">
      <c r="H104" s="102"/>
      <c r="I104" s="102"/>
      <c r="J104" s="102"/>
    </row>
    <row r="105" spans="8:10">
      <c r="H105" s="102"/>
      <c r="I105" s="102"/>
      <c r="J105" s="102"/>
    </row>
    <row r="106" spans="8:10">
      <c r="H106" s="102"/>
      <c r="I106" s="102"/>
      <c r="J106" s="102"/>
    </row>
    <row r="107" spans="8:10">
      <c r="H107" s="102"/>
      <c r="I107" s="102"/>
      <c r="J107" s="102"/>
    </row>
    <row r="108" spans="8:10">
      <c r="H108" s="102"/>
      <c r="I108" s="102"/>
      <c r="J108" s="102"/>
    </row>
    <row r="109" spans="8:10">
      <c r="H109" s="102"/>
      <c r="I109" s="102"/>
      <c r="J109" s="102"/>
    </row>
    <row r="110" spans="8:10">
      <c r="H110" s="102"/>
      <c r="I110" s="102"/>
      <c r="J110" s="102"/>
    </row>
    <row r="111" spans="8:10">
      <c r="H111" s="102"/>
      <c r="I111" s="102"/>
      <c r="J111" s="102"/>
    </row>
    <row r="112" spans="8:10">
      <c r="H112" s="102"/>
      <c r="I112" s="102"/>
      <c r="J112" s="102"/>
    </row>
    <row r="113" spans="8:10">
      <c r="H113" s="102"/>
      <c r="I113" s="102"/>
      <c r="J113" s="102"/>
    </row>
    <row r="114" spans="8:10">
      <c r="H114" s="102"/>
      <c r="I114" s="102"/>
      <c r="J114" s="102"/>
    </row>
    <row r="115" spans="8:10">
      <c r="H115" s="102"/>
      <c r="I115" s="102"/>
      <c r="J115" s="102"/>
    </row>
    <row r="116" spans="8:10">
      <c r="H116" s="102"/>
      <c r="I116" s="102"/>
      <c r="J116" s="102"/>
    </row>
    <row r="117" spans="8:10">
      <c r="H117" s="102"/>
      <c r="I117" s="102"/>
      <c r="J117" s="102"/>
    </row>
    <row r="118" spans="8:10">
      <c r="H118" s="102"/>
      <c r="I118" s="102"/>
      <c r="J118" s="102"/>
    </row>
    <row r="119" spans="8:10">
      <c r="H119" s="102"/>
      <c r="I119" s="102"/>
      <c r="J119" s="102"/>
    </row>
    <row r="120" spans="8:10">
      <c r="H120" s="102"/>
      <c r="I120" s="102"/>
      <c r="J120" s="102"/>
    </row>
    <row r="121" spans="8:10">
      <c r="H121" s="102"/>
      <c r="I121" s="102"/>
      <c r="J121" s="102"/>
    </row>
    <row r="122" spans="8:10">
      <c r="H122" s="102"/>
      <c r="I122" s="102"/>
      <c r="J122" s="102"/>
    </row>
    <row r="123" spans="8:10">
      <c r="H123" s="102"/>
      <c r="I123" s="102"/>
      <c r="J123" s="102"/>
    </row>
    <row r="124" spans="8:10">
      <c r="H124" s="102"/>
      <c r="I124" s="102"/>
      <c r="J124" s="102"/>
    </row>
    <row r="125" spans="8:10">
      <c r="H125" s="102"/>
      <c r="I125" s="102"/>
      <c r="J125" s="102"/>
    </row>
    <row r="126" spans="8:10">
      <c r="H126" s="102"/>
      <c r="I126" s="102"/>
      <c r="J126" s="102"/>
    </row>
    <row r="127" spans="8:10">
      <c r="H127" s="102"/>
      <c r="I127" s="102"/>
      <c r="J127" s="102"/>
    </row>
    <row r="128" spans="8:10">
      <c r="H128" s="102"/>
      <c r="I128" s="102"/>
      <c r="J128" s="102"/>
    </row>
    <row r="129" spans="8:10">
      <c r="H129" s="102"/>
      <c r="I129" s="102"/>
      <c r="J129" s="102"/>
    </row>
    <row r="130" spans="8:10">
      <c r="H130" s="102"/>
      <c r="I130" s="102"/>
      <c r="J130" s="102"/>
    </row>
    <row r="131" spans="8:10">
      <c r="H131" s="102"/>
      <c r="I131" s="102"/>
      <c r="J131" s="102"/>
    </row>
    <row r="132" spans="8:10">
      <c r="H132" s="102"/>
      <c r="I132" s="102"/>
      <c r="J132" s="102"/>
    </row>
    <row r="133" spans="8:10">
      <c r="H133" s="102"/>
      <c r="I133" s="102"/>
      <c r="J133" s="102"/>
    </row>
    <row r="134" spans="8:10">
      <c r="H134" s="102"/>
      <c r="I134" s="102"/>
      <c r="J134" s="102"/>
    </row>
    <row r="135" spans="8:10">
      <c r="H135" s="102"/>
      <c r="I135" s="102"/>
      <c r="J135" s="102"/>
    </row>
    <row r="136" spans="8:10">
      <c r="H136" s="102"/>
      <c r="I136" s="102"/>
      <c r="J136" s="102"/>
    </row>
    <row r="137" spans="8:10">
      <c r="H137" s="102"/>
      <c r="I137" s="102"/>
      <c r="J137" s="102"/>
    </row>
    <row r="138" spans="8:10">
      <c r="H138" s="102"/>
      <c r="I138" s="102"/>
      <c r="J138" s="102"/>
    </row>
    <row r="139" spans="8:10">
      <c r="H139" s="102"/>
      <c r="I139" s="102"/>
      <c r="J139" s="102"/>
    </row>
    <row r="140" spans="8:10">
      <c r="H140" s="102"/>
      <c r="I140" s="102"/>
      <c r="J140" s="102"/>
    </row>
    <row r="141" spans="8:10">
      <c r="H141" s="102"/>
      <c r="I141" s="102"/>
      <c r="J141" s="102"/>
    </row>
    <row r="142" spans="8:10">
      <c r="H142" s="102"/>
      <c r="I142" s="102"/>
      <c r="J142" s="102"/>
    </row>
    <row r="143" spans="8:10">
      <c r="H143" s="102"/>
      <c r="I143" s="102"/>
      <c r="J143" s="102"/>
    </row>
    <row r="144" spans="8:10">
      <c r="H144" s="102"/>
      <c r="I144" s="102"/>
      <c r="J144" s="102"/>
    </row>
    <row r="145" spans="8:10">
      <c r="H145" s="102"/>
      <c r="I145" s="102"/>
      <c r="J145" s="102"/>
    </row>
    <row r="146" spans="8:10">
      <c r="H146" s="102"/>
      <c r="I146" s="102"/>
      <c r="J146" s="102"/>
    </row>
    <row r="147" spans="8:10">
      <c r="H147" s="102"/>
      <c r="I147" s="102"/>
      <c r="J147" s="102"/>
    </row>
    <row r="148" spans="8:10">
      <c r="H148" s="102"/>
      <c r="I148" s="102"/>
      <c r="J148" s="102"/>
    </row>
    <row r="149" spans="8:10">
      <c r="H149" s="102"/>
      <c r="I149" s="102"/>
      <c r="J149" s="102"/>
    </row>
    <row r="150" spans="8:10">
      <c r="H150" s="102"/>
      <c r="I150" s="102"/>
      <c r="J150" s="102"/>
    </row>
    <row r="151" spans="8:10">
      <c r="H151" s="102"/>
      <c r="I151" s="102"/>
      <c r="J151" s="102"/>
    </row>
    <row r="152" spans="8:10">
      <c r="H152" s="102"/>
      <c r="I152" s="102"/>
      <c r="J152" s="102"/>
    </row>
    <row r="153" spans="8:10">
      <c r="H153" s="102"/>
      <c r="I153" s="102"/>
      <c r="J153" s="102"/>
    </row>
    <row r="154" spans="8:10">
      <c r="H154" s="102"/>
      <c r="I154" s="102"/>
      <c r="J154" s="102"/>
    </row>
    <row r="155" spans="8:10">
      <c r="H155" s="102"/>
      <c r="I155" s="102"/>
      <c r="J155" s="102"/>
    </row>
    <row r="156" spans="8:10">
      <c r="H156" s="102"/>
      <c r="I156" s="102"/>
      <c r="J156" s="102"/>
    </row>
    <row r="157" spans="8:10">
      <c r="H157" s="102"/>
      <c r="I157" s="102"/>
      <c r="J157" s="102"/>
    </row>
    <row r="158" spans="8:10">
      <c r="H158" s="102"/>
      <c r="I158" s="102"/>
      <c r="J158" s="102"/>
    </row>
    <row r="159" spans="8:10">
      <c r="H159" s="102"/>
      <c r="I159" s="102"/>
      <c r="J159" s="102"/>
    </row>
    <row r="160" spans="8:10">
      <c r="H160" s="102"/>
      <c r="I160" s="102"/>
      <c r="J160" s="102"/>
    </row>
    <row r="161" spans="8:10">
      <c r="H161" s="102"/>
      <c r="I161" s="102"/>
      <c r="J161" s="102"/>
    </row>
    <row r="162" spans="8:10">
      <c r="H162" s="102"/>
      <c r="I162" s="102"/>
      <c r="J162" s="102"/>
    </row>
    <row r="163" spans="8:10">
      <c r="H163" s="102"/>
      <c r="I163" s="102"/>
      <c r="J163" s="102"/>
    </row>
    <row r="164" spans="8:10">
      <c r="H164" s="102"/>
      <c r="I164" s="102"/>
      <c r="J164" s="102"/>
    </row>
    <row r="165" spans="8:10">
      <c r="H165" s="102"/>
      <c r="I165" s="102"/>
      <c r="J165" s="102"/>
    </row>
    <row r="166" spans="8:10">
      <c r="H166" s="102"/>
      <c r="I166" s="102"/>
      <c r="J166" s="102"/>
    </row>
    <row r="167" spans="8:10">
      <c r="H167" s="102"/>
      <c r="I167" s="102"/>
      <c r="J167" s="102"/>
    </row>
    <row r="168" spans="8:10">
      <c r="H168" s="102"/>
      <c r="I168" s="102"/>
      <c r="J168" s="102"/>
    </row>
    <row r="169" spans="8:10">
      <c r="H169" s="102"/>
      <c r="I169" s="102"/>
      <c r="J169" s="102"/>
    </row>
    <row r="170" spans="8:10">
      <c r="H170" s="102"/>
      <c r="I170" s="102"/>
      <c r="J170" s="102"/>
    </row>
    <row r="171" spans="8:10">
      <c r="H171" s="102"/>
      <c r="I171" s="102"/>
      <c r="J171" s="102"/>
    </row>
    <row r="172" spans="8:10">
      <c r="H172" s="102"/>
      <c r="I172" s="102"/>
      <c r="J172" s="102"/>
    </row>
    <row r="173" spans="8:10">
      <c r="H173" s="102"/>
      <c r="I173" s="102"/>
      <c r="J173" s="102"/>
    </row>
    <row r="174" spans="8:10">
      <c r="H174" s="102"/>
      <c r="I174" s="102"/>
      <c r="J174" s="102"/>
    </row>
    <row r="175" spans="8:10">
      <c r="H175" s="102"/>
      <c r="I175" s="102"/>
      <c r="J175" s="102"/>
    </row>
    <row r="176" spans="8:10">
      <c r="H176" s="102"/>
      <c r="I176" s="102"/>
      <c r="J176" s="102"/>
    </row>
    <row r="177" spans="8:10">
      <c r="H177" s="102"/>
      <c r="I177" s="102"/>
      <c r="J177" s="102"/>
    </row>
    <row r="178" spans="8:10">
      <c r="H178" s="102"/>
      <c r="I178" s="102"/>
      <c r="J178" s="102"/>
    </row>
    <row r="179" spans="8:10">
      <c r="H179" s="102"/>
      <c r="I179" s="102"/>
      <c r="J179" s="102"/>
    </row>
    <row r="180" spans="8:10">
      <c r="H180" s="102"/>
      <c r="I180" s="102"/>
      <c r="J180" s="102"/>
    </row>
    <row r="181" spans="8:10">
      <c r="H181" s="102"/>
      <c r="I181" s="102"/>
      <c r="J181" s="102"/>
    </row>
    <row r="182" spans="8:10">
      <c r="H182" s="102"/>
      <c r="I182" s="102"/>
      <c r="J182" s="102"/>
    </row>
    <row r="183" spans="8:10">
      <c r="H183" s="102"/>
      <c r="I183" s="102"/>
      <c r="J183" s="102"/>
    </row>
    <row r="184" spans="8:10">
      <c r="H184" s="102"/>
      <c r="I184" s="102"/>
      <c r="J184" s="102"/>
    </row>
    <row r="185" spans="8:10">
      <c r="H185" s="102"/>
      <c r="I185" s="102"/>
      <c r="J185" s="102"/>
    </row>
    <row r="186" spans="8:10">
      <c r="H186" s="102"/>
      <c r="I186" s="102"/>
      <c r="J186" s="102"/>
    </row>
    <row r="187" spans="8:10">
      <c r="H187" s="102"/>
      <c r="I187" s="102"/>
      <c r="J187" s="102"/>
    </row>
    <row r="188" spans="8:10">
      <c r="H188" s="102"/>
      <c r="I188" s="102"/>
      <c r="J188" s="102"/>
    </row>
    <row r="189" spans="8:10">
      <c r="H189" s="102"/>
      <c r="I189" s="102"/>
      <c r="J189" s="102"/>
    </row>
    <row r="190" spans="8:10">
      <c r="H190" s="102"/>
      <c r="I190" s="102"/>
      <c r="J190" s="102"/>
    </row>
    <row r="191" spans="8:10">
      <c r="H191" s="102"/>
      <c r="I191" s="102"/>
      <c r="J191" s="102"/>
    </row>
    <row r="192" spans="8:10">
      <c r="H192" s="102"/>
      <c r="I192" s="102"/>
      <c r="J192" s="102"/>
    </row>
    <row r="193" spans="8:10">
      <c r="H193" s="102"/>
      <c r="I193" s="102"/>
      <c r="J193" s="102"/>
    </row>
    <row r="194" spans="8:10">
      <c r="H194" s="102"/>
      <c r="I194" s="102"/>
      <c r="J194" s="102"/>
    </row>
    <row r="195" spans="8:10">
      <c r="H195" s="102"/>
      <c r="I195" s="102"/>
      <c r="J195" s="102"/>
    </row>
    <row r="196" spans="8:10">
      <c r="H196" s="102"/>
      <c r="I196" s="102"/>
      <c r="J196" s="102"/>
    </row>
    <row r="197" spans="8:10">
      <c r="H197" s="102"/>
      <c r="I197" s="102"/>
      <c r="J197" s="102"/>
    </row>
    <row r="198" spans="8:10">
      <c r="H198" s="102"/>
      <c r="I198" s="102"/>
      <c r="J198" s="102"/>
    </row>
    <row r="199" spans="8:10">
      <c r="H199" s="102"/>
      <c r="I199" s="102"/>
      <c r="J199" s="102"/>
    </row>
    <row r="200" spans="8:10">
      <c r="H200" s="102"/>
      <c r="I200" s="102"/>
      <c r="J200" s="102"/>
    </row>
    <row r="201" spans="8:10">
      <c r="H201" s="102"/>
      <c r="I201" s="102"/>
      <c r="J201" s="102"/>
    </row>
    <row r="202" spans="8:10">
      <c r="H202" s="102"/>
      <c r="I202" s="102"/>
      <c r="J202" s="102"/>
    </row>
    <row r="203" spans="8:10">
      <c r="H203" s="102"/>
      <c r="I203" s="102"/>
      <c r="J203" s="102"/>
    </row>
    <row r="204" spans="8:10">
      <c r="H204" s="102"/>
      <c r="I204" s="102"/>
      <c r="J204" s="102"/>
    </row>
    <row r="205" spans="8:10">
      <c r="H205" s="102"/>
      <c r="I205" s="102"/>
      <c r="J205" s="102"/>
    </row>
    <row r="206" spans="8:10">
      <c r="H206" s="102"/>
      <c r="I206" s="102"/>
      <c r="J206" s="102"/>
    </row>
    <row r="207" spans="8:10">
      <c r="H207" s="102"/>
      <c r="I207" s="102"/>
      <c r="J207" s="102"/>
    </row>
    <row r="208" spans="8:10">
      <c r="H208" s="102"/>
      <c r="I208" s="102"/>
      <c r="J208" s="102"/>
    </row>
    <row r="209" spans="8:10">
      <c r="H209" s="102"/>
      <c r="I209" s="102"/>
      <c r="J209" s="102"/>
    </row>
    <row r="210" spans="8:10">
      <c r="H210" s="102"/>
      <c r="I210" s="102"/>
      <c r="J210" s="102"/>
    </row>
    <row r="211" spans="8:10">
      <c r="H211" s="102"/>
      <c r="I211" s="102"/>
      <c r="J211" s="102"/>
    </row>
    <row r="212" spans="8:10">
      <c r="H212" s="102"/>
      <c r="I212" s="102"/>
      <c r="J212" s="102"/>
    </row>
    <row r="213" spans="8:10">
      <c r="H213" s="102"/>
      <c r="I213" s="102"/>
      <c r="J213" s="102"/>
    </row>
    <row r="214" spans="8:10">
      <c r="H214" s="102"/>
      <c r="I214" s="102"/>
      <c r="J214" s="102"/>
    </row>
    <row r="215" spans="8:10">
      <c r="H215" s="102"/>
      <c r="I215" s="102"/>
      <c r="J215" s="102"/>
    </row>
    <row r="216" spans="8:10">
      <c r="H216" s="102"/>
      <c r="I216" s="102"/>
      <c r="J216" s="102"/>
    </row>
    <row r="217" spans="8:10">
      <c r="H217" s="102"/>
      <c r="I217" s="102"/>
      <c r="J217" s="102"/>
    </row>
    <row r="218" spans="8:10">
      <c r="H218" s="102"/>
      <c r="I218" s="102"/>
      <c r="J218" s="102"/>
    </row>
    <row r="219" spans="8:10">
      <c r="H219" s="102"/>
      <c r="I219" s="102"/>
      <c r="J219" s="102"/>
    </row>
    <row r="220" spans="8:10">
      <c r="H220" s="102"/>
      <c r="I220" s="102"/>
      <c r="J220" s="102"/>
    </row>
    <row r="221" spans="8:10">
      <c r="H221" s="102"/>
      <c r="I221" s="102"/>
      <c r="J221" s="102"/>
    </row>
    <row r="222" spans="8:10">
      <c r="H222" s="102"/>
      <c r="I222" s="102"/>
      <c r="J222" s="102"/>
    </row>
    <row r="223" spans="8:10">
      <c r="H223" s="102"/>
      <c r="I223" s="102"/>
      <c r="J223" s="102"/>
    </row>
    <row r="224" spans="8:10">
      <c r="H224" s="102"/>
      <c r="I224" s="102"/>
      <c r="J224" s="102"/>
    </row>
    <row r="225" spans="8:10">
      <c r="H225" s="102"/>
      <c r="I225" s="102"/>
      <c r="J225" s="102"/>
    </row>
    <row r="226" spans="8:10">
      <c r="H226" s="102"/>
      <c r="I226" s="102"/>
      <c r="J226" s="102"/>
    </row>
    <row r="227" spans="8:10">
      <c r="H227" s="102"/>
      <c r="I227" s="102"/>
      <c r="J227" s="102"/>
    </row>
    <row r="228" spans="8:10">
      <c r="H228" s="102"/>
      <c r="I228" s="102"/>
      <c r="J228" s="102"/>
    </row>
    <row r="229" spans="8:10">
      <c r="H229" s="102"/>
      <c r="I229" s="102"/>
      <c r="J229" s="102"/>
    </row>
    <row r="230" spans="8:10">
      <c r="H230" s="102"/>
      <c r="I230" s="102"/>
      <c r="J230" s="102"/>
    </row>
    <row r="231" spans="8:10">
      <c r="H231" s="102"/>
      <c r="I231" s="102"/>
      <c r="J231" s="102"/>
    </row>
    <row r="232" spans="8:10">
      <c r="H232" s="102"/>
      <c r="I232" s="102"/>
      <c r="J232" s="102"/>
    </row>
    <row r="233" spans="8:10">
      <c r="H233" s="102"/>
      <c r="I233" s="102"/>
      <c r="J233" s="102"/>
    </row>
    <row r="234" spans="8:10">
      <c r="H234" s="102"/>
      <c r="I234" s="102"/>
      <c r="J234" s="102"/>
    </row>
    <row r="235" spans="8:10">
      <c r="H235" s="102"/>
      <c r="I235" s="102"/>
      <c r="J235" s="102"/>
    </row>
    <row r="236" spans="8:10">
      <c r="H236" s="102"/>
      <c r="I236" s="102"/>
      <c r="J236" s="102"/>
    </row>
    <row r="237" spans="8:10">
      <c r="H237" s="102"/>
      <c r="I237" s="102"/>
      <c r="J237" s="102"/>
    </row>
    <row r="238" spans="8:10">
      <c r="H238" s="102"/>
      <c r="I238" s="102"/>
      <c r="J238" s="102"/>
    </row>
    <row r="239" spans="8:10">
      <c r="H239" s="102"/>
      <c r="I239" s="102"/>
      <c r="J239" s="102"/>
    </row>
    <row r="240" spans="8:10">
      <c r="H240" s="102"/>
      <c r="I240" s="102"/>
      <c r="J240" s="102"/>
    </row>
    <row r="241" spans="8:10">
      <c r="H241" s="102"/>
      <c r="I241" s="102"/>
      <c r="J241" s="102"/>
    </row>
    <row r="242" spans="8:10">
      <c r="H242" s="102"/>
      <c r="I242" s="102"/>
      <c r="J242" s="102"/>
    </row>
    <row r="243" spans="8:10">
      <c r="H243" s="102"/>
      <c r="I243" s="102"/>
      <c r="J243" s="102"/>
    </row>
    <row r="244" spans="8:10">
      <c r="H244" s="102"/>
      <c r="I244" s="102"/>
      <c r="J244" s="102"/>
    </row>
    <row r="245" spans="8:10">
      <c r="H245" s="102"/>
      <c r="I245" s="102"/>
      <c r="J245" s="102"/>
    </row>
    <row r="246" spans="8:10">
      <c r="H246" s="102"/>
      <c r="I246" s="102"/>
      <c r="J246" s="102"/>
    </row>
    <row r="247" spans="8:10">
      <c r="H247" s="102"/>
      <c r="I247" s="102"/>
      <c r="J247" s="102"/>
    </row>
    <row r="248" spans="8:10">
      <c r="H248" s="102"/>
      <c r="I248" s="102"/>
      <c r="J248" s="102"/>
    </row>
    <row r="249" spans="8:10">
      <c r="H249" s="102"/>
      <c r="I249" s="102"/>
      <c r="J249" s="102"/>
    </row>
    <row r="250" spans="8:10">
      <c r="H250" s="102"/>
      <c r="I250" s="102"/>
      <c r="J250" s="102"/>
    </row>
    <row r="251" spans="8:10">
      <c r="H251" s="102"/>
      <c r="I251" s="102"/>
      <c r="J251" s="102"/>
    </row>
    <row r="252" spans="8:10">
      <c r="H252" s="102"/>
      <c r="I252" s="102"/>
      <c r="J252" s="102"/>
    </row>
    <row r="253" spans="8:10">
      <c r="H253" s="102"/>
      <c r="I253" s="102"/>
      <c r="J253" s="102"/>
    </row>
    <row r="254" spans="8:10">
      <c r="H254" s="102"/>
      <c r="I254" s="102"/>
      <c r="J254" s="102"/>
    </row>
    <row r="255" spans="8:10">
      <c r="H255" s="102"/>
      <c r="I255" s="102"/>
      <c r="J255" s="102"/>
    </row>
    <row r="256" spans="8:10">
      <c r="H256" s="102"/>
      <c r="I256" s="102"/>
      <c r="J256" s="102"/>
    </row>
    <row r="257" spans="8:10">
      <c r="H257" s="102"/>
      <c r="I257" s="102"/>
      <c r="J257" s="102"/>
    </row>
    <row r="258" spans="8:10">
      <c r="H258" s="102"/>
      <c r="I258" s="102"/>
      <c r="J258" s="102"/>
    </row>
    <row r="259" spans="8:10">
      <c r="H259" s="102"/>
      <c r="I259" s="102"/>
      <c r="J259" s="102"/>
    </row>
    <row r="260" spans="8:10">
      <c r="H260" s="102"/>
      <c r="I260" s="102"/>
      <c r="J260" s="102"/>
    </row>
    <row r="261" spans="8:10">
      <c r="H261" s="102"/>
      <c r="I261" s="102"/>
      <c r="J261" s="102"/>
    </row>
    <row r="262" spans="8:10">
      <c r="H262" s="102"/>
      <c r="I262" s="102"/>
      <c r="J262" s="102"/>
    </row>
    <row r="263" spans="8:10">
      <c r="H263" s="102"/>
      <c r="I263" s="102"/>
      <c r="J263" s="102"/>
    </row>
    <row r="264" spans="8:10">
      <c r="H264" s="102"/>
      <c r="I264" s="102"/>
      <c r="J264" s="102"/>
    </row>
    <row r="265" spans="8:10">
      <c r="H265" s="102"/>
      <c r="I265" s="102"/>
      <c r="J265" s="102"/>
    </row>
    <row r="266" spans="8:10">
      <c r="H266" s="102"/>
      <c r="I266" s="102"/>
      <c r="J266" s="102"/>
    </row>
    <row r="267" spans="8:10">
      <c r="H267" s="102"/>
      <c r="I267" s="102"/>
      <c r="J267" s="102"/>
    </row>
    <row r="268" spans="8:10">
      <c r="H268" s="102"/>
      <c r="I268" s="102"/>
      <c r="J268" s="102"/>
    </row>
    <row r="269" spans="8:10">
      <c r="H269" s="102"/>
      <c r="I269" s="102"/>
      <c r="J269" s="102"/>
    </row>
    <row r="270" spans="8:10">
      <c r="H270" s="102"/>
      <c r="I270" s="102"/>
      <c r="J270" s="102"/>
    </row>
    <row r="271" spans="8:10">
      <c r="H271" s="102"/>
      <c r="I271" s="102"/>
      <c r="J271" s="102"/>
    </row>
    <row r="272" spans="8:10">
      <c r="H272" s="102"/>
      <c r="I272" s="102"/>
      <c r="J272" s="102"/>
    </row>
    <row r="273" spans="8:10">
      <c r="H273" s="102"/>
      <c r="I273" s="102"/>
      <c r="J273" s="102"/>
    </row>
    <row r="274" spans="8:10">
      <c r="H274" s="102"/>
      <c r="I274" s="102"/>
      <c r="J274" s="102"/>
    </row>
    <row r="275" spans="8:10">
      <c r="H275" s="102"/>
      <c r="I275" s="102"/>
      <c r="J275" s="102"/>
    </row>
    <row r="276" spans="8:10">
      <c r="H276" s="102"/>
      <c r="I276" s="102"/>
      <c r="J276" s="102"/>
    </row>
    <row r="277" spans="8:10">
      <c r="H277" s="102"/>
      <c r="I277" s="102"/>
      <c r="J277" s="102"/>
    </row>
    <row r="278" spans="8:10">
      <c r="H278" s="102"/>
      <c r="I278" s="102"/>
      <c r="J278" s="102"/>
    </row>
    <row r="279" spans="8:10">
      <c r="H279" s="102"/>
      <c r="I279" s="102"/>
      <c r="J279" s="102"/>
    </row>
    <row r="280" spans="8:10">
      <c r="H280" s="102"/>
      <c r="I280" s="102"/>
      <c r="J280" s="102"/>
    </row>
    <row r="281" spans="8:10">
      <c r="H281" s="102"/>
      <c r="I281" s="102"/>
      <c r="J281" s="102"/>
    </row>
    <row r="282" spans="8:10">
      <c r="H282" s="102"/>
      <c r="I282" s="102"/>
      <c r="J282" s="102"/>
    </row>
    <row r="283" spans="8:10">
      <c r="H283" s="102"/>
      <c r="I283" s="102"/>
      <c r="J283" s="102"/>
    </row>
    <row r="284" spans="8:10">
      <c r="H284" s="102"/>
      <c r="I284" s="102"/>
      <c r="J284" s="102"/>
    </row>
    <row r="285" spans="8:10">
      <c r="H285" s="102"/>
      <c r="I285" s="102"/>
      <c r="J285" s="102"/>
    </row>
    <row r="286" spans="8:10">
      <c r="H286" s="102"/>
      <c r="I286" s="102"/>
      <c r="J286" s="102"/>
    </row>
    <row r="287" spans="8:10">
      <c r="H287" s="102"/>
      <c r="I287" s="102"/>
      <c r="J287" s="102"/>
    </row>
    <row r="288" spans="8:10">
      <c r="H288" s="102"/>
      <c r="I288" s="102"/>
      <c r="J288" s="102"/>
    </row>
    <row r="289" spans="8:10">
      <c r="H289" s="102"/>
      <c r="I289" s="102"/>
      <c r="J289" s="102"/>
    </row>
    <row r="290" spans="8:10">
      <c r="H290" s="102"/>
      <c r="I290" s="102"/>
      <c r="J290" s="102"/>
    </row>
    <row r="291" spans="8:10">
      <c r="H291" s="102"/>
      <c r="I291" s="102"/>
      <c r="J291" s="102"/>
    </row>
    <row r="292" spans="8:10">
      <c r="H292" s="102"/>
      <c r="I292" s="102"/>
      <c r="J292" s="102"/>
    </row>
    <row r="293" spans="8:10">
      <c r="H293" s="102"/>
      <c r="I293" s="102"/>
      <c r="J293" s="102"/>
    </row>
    <row r="294" spans="8:10">
      <c r="H294" s="102"/>
      <c r="I294" s="102"/>
      <c r="J294" s="102"/>
    </row>
    <row r="295" spans="8:10">
      <c r="H295" s="102"/>
      <c r="I295" s="102"/>
      <c r="J295" s="102"/>
    </row>
    <row r="296" spans="8:10">
      <c r="H296" s="102"/>
      <c r="I296" s="102"/>
      <c r="J296" s="102"/>
    </row>
    <row r="297" spans="8:10">
      <c r="H297" s="102"/>
      <c r="I297" s="102"/>
      <c r="J297" s="102"/>
    </row>
    <row r="298" spans="8:10">
      <c r="H298" s="102"/>
      <c r="I298" s="102"/>
      <c r="J298" s="102"/>
    </row>
    <row r="299" spans="8:10">
      <c r="H299" s="102"/>
      <c r="I299" s="102"/>
      <c r="J299" s="102"/>
    </row>
    <row r="300" spans="8:10">
      <c r="H300" s="102"/>
      <c r="I300" s="102"/>
      <c r="J300" s="102"/>
    </row>
    <row r="301" spans="8:10">
      <c r="H301" s="102"/>
      <c r="I301" s="102"/>
      <c r="J301" s="102"/>
    </row>
    <row r="302" spans="8:10">
      <c r="H302" s="102"/>
      <c r="I302" s="102"/>
      <c r="J302" s="102"/>
    </row>
    <row r="303" spans="8:10">
      <c r="H303" s="102"/>
      <c r="I303" s="102"/>
      <c r="J303" s="102"/>
    </row>
    <row r="304" spans="8:10">
      <c r="H304" s="102"/>
      <c r="I304" s="102"/>
      <c r="J304" s="102"/>
    </row>
    <row r="305" spans="8:10">
      <c r="H305" s="102"/>
      <c r="I305" s="102"/>
      <c r="J305" s="102"/>
    </row>
    <row r="306" spans="8:10">
      <c r="H306" s="102"/>
      <c r="I306" s="102"/>
      <c r="J306" s="102"/>
    </row>
    <row r="307" spans="8:10">
      <c r="H307" s="102"/>
      <c r="I307" s="102"/>
      <c r="J307" s="102"/>
    </row>
    <row r="308" spans="8:10">
      <c r="H308" s="102"/>
      <c r="I308" s="102"/>
      <c r="J308" s="102"/>
    </row>
    <row r="309" spans="8:10">
      <c r="H309" s="102"/>
      <c r="I309" s="102"/>
      <c r="J309" s="102"/>
    </row>
    <row r="310" spans="8:10">
      <c r="H310" s="102"/>
      <c r="I310" s="102"/>
      <c r="J310" s="102"/>
    </row>
    <row r="311" spans="8:10">
      <c r="H311" s="102"/>
      <c r="I311" s="102"/>
      <c r="J311" s="102"/>
    </row>
    <row r="312" spans="8:10">
      <c r="H312" s="102"/>
      <c r="I312" s="102"/>
      <c r="J312" s="102"/>
    </row>
    <row r="313" spans="8:10">
      <c r="H313" s="102"/>
      <c r="I313" s="102"/>
      <c r="J313" s="102"/>
    </row>
    <row r="314" spans="8:10">
      <c r="H314" s="102"/>
      <c r="I314" s="102"/>
      <c r="J314" s="102"/>
    </row>
    <row r="315" spans="8:10">
      <c r="H315" s="102"/>
      <c r="I315" s="102"/>
      <c r="J315" s="102"/>
    </row>
    <row r="316" spans="8:10">
      <c r="H316" s="102"/>
      <c r="I316" s="102"/>
      <c r="J316" s="102"/>
    </row>
    <row r="317" spans="8:10">
      <c r="H317" s="102"/>
      <c r="I317" s="102"/>
      <c r="J317" s="102"/>
    </row>
    <row r="318" spans="8:10">
      <c r="H318" s="102"/>
      <c r="I318" s="102"/>
      <c r="J318" s="102"/>
    </row>
    <row r="319" spans="8:10">
      <c r="H319" s="102"/>
      <c r="I319" s="102"/>
      <c r="J319" s="102"/>
    </row>
    <row r="320" spans="8:10">
      <c r="H320" s="102"/>
      <c r="I320" s="102"/>
      <c r="J320" s="102"/>
    </row>
    <row r="321" spans="8:10">
      <c r="H321" s="102"/>
      <c r="I321" s="102"/>
      <c r="J321" s="102"/>
    </row>
    <row r="322" spans="8:10">
      <c r="H322" s="102"/>
      <c r="I322" s="102"/>
      <c r="J322" s="102"/>
    </row>
    <row r="323" spans="8:10">
      <c r="H323" s="102"/>
      <c r="I323" s="102"/>
      <c r="J323" s="102"/>
    </row>
    <row r="324" spans="8:10">
      <c r="H324" s="102"/>
      <c r="I324" s="102"/>
      <c r="J324" s="102"/>
    </row>
    <row r="325" spans="8:10">
      <c r="H325" s="102"/>
      <c r="I325" s="102"/>
      <c r="J325" s="102"/>
    </row>
    <row r="326" spans="8:10">
      <c r="H326" s="102"/>
      <c r="I326" s="102"/>
      <c r="J326" s="102"/>
    </row>
    <row r="327" spans="8:10">
      <c r="H327" s="102"/>
      <c r="I327" s="102"/>
      <c r="J327" s="102"/>
    </row>
    <row r="328" spans="8:10">
      <c r="H328" s="102"/>
      <c r="I328" s="102"/>
      <c r="J328" s="102"/>
    </row>
    <row r="329" spans="8:10">
      <c r="H329" s="102"/>
      <c r="I329" s="102"/>
      <c r="J329" s="102"/>
    </row>
    <row r="330" spans="8:10">
      <c r="H330" s="102"/>
      <c r="I330" s="102"/>
      <c r="J330" s="102"/>
    </row>
    <row r="331" spans="8:10">
      <c r="H331" s="102"/>
      <c r="I331" s="102"/>
      <c r="J331" s="102"/>
    </row>
    <row r="332" spans="8:10">
      <c r="H332" s="102"/>
      <c r="I332" s="102"/>
      <c r="J332" s="102"/>
    </row>
    <row r="333" spans="8:10">
      <c r="H333" s="102"/>
      <c r="I333" s="102"/>
      <c r="J333" s="102"/>
    </row>
    <row r="334" spans="8:10">
      <c r="H334" s="102"/>
      <c r="I334" s="102"/>
      <c r="J334" s="102"/>
    </row>
    <row r="335" spans="8:10">
      <c r="H335" s="102"/>
      <c r="I335" s="102"/>
      <c r="J335" s="102"/>
    </row>
    <row r="336" spans="8:10">
      <c r="H336" s="102"/>
      <c r="I336" s="102"/>
      <c r="J336" s="102"/>
    </row>
    <row r="337" spans="8:10">
      <c r="H337" s="102"/>
      <c r="I337" s="102"/>
      <c r="J337" s="102"/>
    </row>
    <row r="338" spans="8:10">
      <c r="H338" s="102"/>
      <c r="I338" s="102"/>
      <c r="J338" s="102"/>
    </row>
    <row r="339" spans="8:10">
      <c r="H339" s="102"/>
      <c r="I339" s="102"/>
      <c r="J339" s="102"/>
    </row>
    <row r="340" spans="8:10">
      <c r="H340" s="102"/>
      <c r="I340" s="102"/>
      <c r="J340" s="102"/>
    </row>
    <row r="341" spans="8:10">
      <c r="H341" s="102"/>
      <c r="I341" s="102"/>
      <c r="J341" s="102"/>
    </row>
    <row r="342" spans="8:10">
      <c r="H342" s="102"/>
      <c r="I342" s="102"/>
      <c r="J342" s="102"/>
    </row>
    <row r="343" spans="8:10">
      <c r="H343" s="102"/>
      <c r="I343" s="102"/>
      <c r="J343" s="102"/>
    </row>
    <row r="344" spans="8:10">
      <c r="H344" s="102"/>
      <c r="I344" s="102"/>
      <c r="J344" s="102"/>
    </row>
    <row r="345" spans="8:10">
      <c r="H345" s="102"/>
      <c r="I345" s="102"/>
      <c r="J345" s="102"/>
    </row>
    <row r="346" spans="8:10">
      <c r="H346" s="102"/>
      <c r="I346" s="102"/>
      <c r="J346" s="102"/>
    </row>
    <row r="347" spans="8:10">
      <c r="H347" s="102"/>
      <c r="I347" s="102"/>
      <c r="J347" s="102"/>
    </row>
    <row r="348" spans="8:10">
      <c r="H348" s="102"/>
      <c r="I348" s="102"/>
      <c r="J348" s="102"/>
    </row>
    <row r="349" spans="8:10">
      <c r="H349" s="102"/>
      <c r="I349" s="102"/>
      <c r="J349" s="102"/>
    </row>
    <row r="350" spans="8:10">
      <c r="H350" s="102"/>
      <c r="I350" s="102"/>
      <c r="J350" s="102"/>
    </row>
    <row r="351" spans="8:10">
      <c r="H351" s="102"/>
      <c r="I351" s="102"/>
      <c r="J351" s="102"/>
    </row>
    <row r="352" spans="8:10">
      <c r="H352" s="102"/>
      <c r="I352" s="102"/>
      <c r="J352" s="102"/>
    </row>
    <row r="353" spans="8:10">
      <c r="H353" s="102"/>
      <c r="I353" s="102"/>
      <c r="J353" s="102"/>
    </row>
    <row r="354" spans="8:10">
      <c r="H354" s="102"/>
      <c r="I354" s="102"/>
      <c r="J354" s="102"/>
    </row>
    <row r="355" spans="8:10">
      <c r="H355" s="102"/>
      <c r="I355" s="102"/>
      <c r="J355" s="102"/>
    </row>
    <row r="356" spans="8:10">
      <c r="H356" s="102"/>
      <c r="I356" s="102"/>
      <c r="J356" s="102"/>
    </row>
    <row r="357" spans="8:10">
      <c r="H357" s="102"/>
      <c r="I357" s="102"/>
      <c r="J357" s="102"/>
    </row>
    <row r="358" spans="8:10">
      <c r="H358" s="102"/>
      <c r="I358" s="102"/>
      <c r="J358" s="102"/>
    </row>
    <row r="359" spans="8:10">
      <c r="H359" s="102"/>
      <c r="I359" s="102"/>
      <c r="J359" s="102"/>
    </row>
    <row r="360" spans="8:10">
      <c r="H360" s="102"/>
      <c r="I360" s="102"/>
      <c r="J360" s="102"/>
    </row>
    <row r="361" spans="8:10">
      <c r="H361" s="102"/>
      <c r="I361" s="102"/>
      <c r="J361" s="102"/>
    </row>
    <row r="362" spans="8:10">
      <c r="H362" s="102"/>
      <c r="I362" s="102"/>
      <c r="J362" s="102"/>
    </row>
    <row r="363" spans="8:10">
      <c r="H363" s="102"/>
      <c r="I363" s="102"/>
      <c r="J363" s="102"/>
    </row>
    <row r="364" spans="8:10">
      <c r="H364" s="102"/>
      <c r="I364" s="102"/>
      <c r="J364" s="102"/>
    </row>
    <row r="365" spans="8:10">
      <c r="H365" s="102"/>
      <c r="I365" s="102"/>
      <c r="J365" s="102"/>
    </row>
    <row r="366" spans="8:10">
      <c r="H366" s="102"/>
      <c r="I366" s="102"/>
      <c r="J366" s="102"/>
    </row>
    <row r="367" spans="8:10">
      <c r="H367" s="102"/>
      <c r="I367" s="102"/>
      <c r="J367" s="102"/>
    </row>
    <row r="368" spans="8:10">
      <c r="H368" s="102"/>
      <c r="I368" s="102"/>
      <c r="J368" s="102"/>
    </row>
    <row r="369" spans="8:10">
      <c r="H369" s="102"/>
      <c r="I369" s="102"/>
      <c r="J369" s="102"/>
    </row>
    <row r="370" spans="8:10">
      <c r="H370" s="102"/>
      <c r="I370" s="102"/>
      <c r="J370" s="102"/>
    </row>
    <row r="371" spans="8:10">
      <c r="H371" s="102"/>
      <c r="I371" s="102"/>
      <c r="J371" s="102"/>
    </row>
    <row r="372" spans="8:10">
      <c r="H372" s="102"/>
      <c r="I372" s="102"/>
      <c r="J372" s="102"/>
    </row>
    <row r="373" spans="8:10">
      <c r="H373" s="102"/>
      <c r="I373" s="102"/>
      <c r="J373" s="102"/>
    </row>
    <row r="374" spans="8:10">
      <c r="H374" s="102"/>
      <c r="I374" s="102"/>
      <c r="J374" s="102"/>
    </row>
    <row r="375" spans="8:10">
      <c r="H375" s="102"/>
      <c r="I375" s="102"/>
      <c r="J375" s="102"/>
    </row>
    <row r="376" spans="8:10">
      <c r="H376" s="102"/>
      <c r="I376" s="102"/>
      <c r="J376" s="102"/>
    </row>
    <row r="377" spans="8:10">
      <c r="H377" s="102"/>
      <c r="I377" s="102"/>
      <c r="J377" s="102"/>
    </row>
    <row r="378" spans="8:10">
      <c r="H378" s="102"/>
      <c r="I378" s="102"/>
      <c r="J378" s="102"/>
    </row>
    <row r="379" spans="8:10">
      <c r="H379" s="102"/>
      <c r="I379" s="102"/>
      <c r="J379" s="102"/>
    </row>
    <row r="380" spans="8:10">
      <c r="H380" s="102"/>
      <c r="I380" s="102"/>
      <c r="J380" s="102"/>
    </row>
    <row r="381" spans="8:10">
      <c r="H381" s="102"/>
      <c r="I381" s="102"/>
      <c r="J381" s="102"/>
    </row>
    <row r="382" spans="8:10">
      <c r="H382" s="102"/>
      <c r="I382" s="102"/>
      <c r="J382" s="102"/>
    </row>
    <row r="383" spans="8:10">
      <c r="H383" s="102"/>
      <c r="I383" s="102"/>
      <c r="J383" s="102"/>
    </row>
    <row r="384" spans="8:10">
      <c r="H384" s="102"/>
      <c r="I384" s="102"/>
      <c r="J384" s="102"/>
    </row>
    <row r="385" spans="8:10">
      <c r="H385" s="102"/>
      <c r="I385" s="102"/>
      <c r="J385" s="102"/>
    </row>
    <row r="386" spans="8:10">
      <c r="H386" s="102"/>
      <c r="I386" s="102"/>
      <c r="J386" s="102"/>
    </row>
    <row r="387" spans="8:10">
      <c r="H387" s="102"/>
      <c r="I387" s="102"/>
      <c r="J387" s="102"/>
    </row>
    <row r="388" spans="8:10">
      <c r="H388" s="102"/>
      <c r="I388" s="102"/>
      <c r="J388" s="102"/>
    </row>
    <row r="389" spans="8:10">
      <c r="H389" s="102"/>
      <c r="I389" s="102"/>
      <c r="J389" s="102"/>
    </row>
    <row r="390" spans="8:10">
      <c r="H390" s="102"/>
      <c r="I390" s="102"/>
      <c r="J390" s="102"/>
    </row>
    <row r="391" spans="8:10">
      <c r="H391" s="102"/>
      <c r="I391" s="102"/>
      <c r="J391" s="102"/>
    </row>
    <row r="392" spans="8:10">
      <c r="H392" s="102"/>
      <c r="I392" s="102"/>
      <c r="J392" s="102"/>
    </row>
    <row r="393" spans="8:10">
      <c r="H393" s="102"/>
      <c r="I393" s="102"/>
      <c r="J393" s="102"/>
    </row>
    <row r="394" spans="8:10">
      <c r="H394" s="102"/>
      <c r="I394" s="102"/>
      <c r="J394" s="102"/>
    </row>
    <row r="395" spans="8:10">
      <c r="H395" s="102"/>
      <c r="I395" s="102"/>
      <c r="J395" s="102"/>
    </row>
    <row r="396" spans="8:10">
      <c r="H396" s="102"/>
      <c r="I396" s="102"/>
      <c r="J396" s="102"/>
    </row>
    <row r="397" spans="8:10">
      <c r="H397" s="102"/>
      <c r="I397" s="102"/>
      <c r="J397" s="102"/>
    </row>
    <row r="398" spans="8:10">
      <c r="H398" s="102"/>
      <c r="I398" s="102"/>
      <c r="J398" s="102"/>
    </row>
    <row r="399" spans="8:10">
      <c r="H399" s="102"/>
      <c r="I399" s="102"/>
      <c r="J399" s="102"/>
    </row>
    <row r="400" spans="8:10">
      <c r="H400" s="102"/>
      <c r="I400" s="102"/>
      <c r="J400" s="102"/>
    </row>
    <row r="401" spans="8:10">
      <c r="H401" s="102"/>
      <c r="I401" s="102"/>
      <c r="J401" s="102"/>
    </row>
    <row r="402" spans="8:10">
      <c r="H402" s="102"/>
      <c r="I402" s="102"/>
      <c r="J402" s="102"/>
    </row>
    <row r="403" spans="8:10">
      <c r="H403" s="102"/>
      <c r="I403" s="102"/>
      <c r="J403" s="102"/>
    </row>
    <row r="404" spans="8:10">
      <c r="H404" s="102"/>
      <c r="I404" s="102"/>
      <c r="J404" s="102"/>
    </row>
    <row r="405" spans="8:10">
      <c r="H405" s="102"/>
      <c r="I405" s="102"/>
      <c r="J405" s="102"/>
    </row>
    <row r="406" spans="8:10">
      <c r="H406" s="102"/>
      <c r="I406" s="102"/>
      <c r="J406" s="102"/>
    </row>
    <row r="407" spans="8:10">
      <c r="H407" s="102"/>
      <c r="I407" s="102"/>
      <c r="J407" s="102"/>
    </row>
    <row r="408" spans="8:10">
      <c r="H408" s="102"/>
      <c r="I408" s="102"/>
      <c r="J408" s="102"/>
    </row>
    <row r="409" spans="8:10">
      <c r="H409" s="102"/>
      <c r="I409" s="102"/>
      <c r="J409" s="102"/>
    </row>
    <row r="410" spans="8:10">
      <c r="H410" s="102"/>
      <c r="I410" s="102"/>
      <c r="J410" s="102"/>
    </row>
    <row r="411" spans="8:10">
      <c r="H411" s="102"/>
      <c r="I411" s="102"/>
      <c r="J411" s="102"/>
    </row>
    <row r="412" spans="8:10">
      <c r="H412" s="102"/>
      <c r="I412" s="102"/>
      <c r="J412" s="102"/>
    </row>
    <row r="413" spans="8:10">
      <c r="H413" s="102"/>
      <c r="I413" s="102"/>
      <c r="J413" s="102"/>
    </row>
    <row r="414" spans="8:10">
      <c r="H414" s="102"/>
      <c r="I414" s="102"/>
      <c r="J414" s="102"/>
    </row>
    <row r="415" spans="8:10">
      <c r="H415" s="102"/>
      <c r="I415" s="102"/>
      <c r="J415" s="102"/>
    </row>
    <row r="416" spans="8:10">
      <c r="H416" s="102"/>
      <c r="I416" s="102"/>
      <c r="J416" s="102"/>
    </row>
    <row r="417" spans="8:10">
      <c r="H417" s="102"/>
      <c r="I417" s="102"/>
      <c r="J417" s="102"/>
    </row>
    <row r="418" spans="8:10">
      <c r="H418" s="102"/>
      <c r="I418" s="102"/>
      <c r="J418" s="102"/>
    </row>
    <row r="419" spans="8:10">
      <c r="H419" s="102"/>
      <c r="I419" s="102"/>
      <c r="J419" s="102"/>
    </row>
    <row r="420" spans="8:10">
      <c r="H420" s="102"/>
      <c r="I420" s="102"/>
      <c r="J420" s="102"/>
    </row>
    <row r="421" spans="8:10">
      <c r="H421" s="102"/>
      <c r="I421" s="102"/>
      <c r="J421" s="102"/>
    </row>
    <row r="422" spans="8:10">
      <c r="H422" s="102"/>
      <c r="I422" s="102"/>
      <c r="J422" s="102"/>
    </row>
    <row r="423" spans="8:10">
      <c r="H423" s="102"/>
      <c r="I423" s="102"/>
      <c r="J423" s="102"/>
    </row>
    <row r="424" spans="8:10">
      <c r="H424" s="102"/>
      <c r="I424" s="102"/>
      <c r="J424" s="102"/>
    </row>
    <row r="425" spans="8:10">
      <c r="H425" s="102"/>
      <c r="I425" s="102"/>
      <c r="J425" s="102"/>
    </row>
    <row r="426" spans="8:10">
      <c r="H426" s="102"/>
      <c r="I426" s="102"/>
      <c r="J426" s="102"/>
    </row>
    <row r="427" spans="8:10">
      <c r="H427" s="102"/>
      <c r="I427" s="102"/>
      <c r="J427" s="102"/>
    </row>
    <row r="428" spans="8:10">
      <c r="H428" s="102"/>
      <c r="I428" s="102"/>
      <c r="J428" s="102"/>
    </row>
    <row r="429" spans="8:10">
      <c r="H429" s="102"/>
      <c r="I429" s="102"/>
      <c r="J429" s="102"/>
    </row>
    <row r="430" spans="8:10">
      <c r="H430" s="102"/>
      <c r="I430" s="102"/>
      <c r="J430" s="102"/>
    </row>
    <row r="431" spans="8:10">
      <c r="H431" s="102"/>
      <c r="I431" s="102"/>
      <c r="J431" s="102"/>
    </row>
    <row r="432" spans="8:10">
      <c r="H432" s="102"/>
      <c r="I432" s="102"/>
      <c r="J432" s="102"/>
    </row>
    <row r="433" spans="8:10">
      <c r="H433" s="102"/>
      <c r="I433" s="102"/>
      <c r="J433" s="102"/>
    </row>
    <row r="434" spans="8:10">
      <c r="H434" s="102"/>
      <c r="I434" s="102"/>
      <c r="J434" s="102"/>
    </row>
    <row r="435" spans="8:10">
      <c r="H435" s="102"/>
      <c r="I435" s="102"/>
      <c r="J435" s="102"/>
    </row>
    <row r="436" spans="8:10">
      <c r="H436" s="102"/>
      <c r="I436" s="102"/>
      <c r="J436" s="102"/>
    </row>
    <row r="437" spans="8:10">
      <c r="H437" s="102"/>
      <c r="I437" s="102"/>
      <c r="J437" s="102"/>
    </row>
    <row r="438" spans="8:10">
      <c r="H438" s="102"/>
      <c r="I438" s="102"/>
      <c r="J438" s="102"/>
    </row>
    <row r="439" spans="8:10">
      <c r="H439" s="102"/>
      <c r="I439" s="102"/>
      <c r="J439" s="102"/>
    </row>
    <row r="440" spans="8:10">
      <c r="H440" s="102"/>
      <c r="I440" s="102"/>
      <c r="J440" s="102"/>
    </row>
    <row r="441" spans="8:10">
      <c r="H441" s="102"/>
      <c r="I441" s="102"/>
      <c r="J441" s="102"/>
    </row>
    <row r="442" spans="8:10">
      <c r="H442" s="102"/>
      <c r="I442" s="102"/>
      <c r="J442" s="102"/>
    </row>
    <row r="443" spans="8:10">
      <c r="H443" s="102"/>
      <c r="I443" s="102"/>
      <c r="J443" s="102"/>
    </row>
    <row r="444" spans="8:10">
      <c r="H444" s="102"/>
      <c r="I444" s="102"/>
      <c r="J444" s="102"/>
    </row>
    <row r="445" spans="8:10">
      <c r="H445" s="102"/>
      <c r="I445" s="102"/>
      <c r="J445" s="102"/>
    </row>
    <row r="446" spans="8:10">
      <c r="H446" s="102"/>
      <c r="I446" s="102"/>
      <c r="J446" s="102"/>
    </row>
    <row r="447" spans="8:10">
      <c r="H447" s="102"/>
      <c r="I447" s="102"/>
      <c r="J447" s="102"/>
    </row>
    <row r="448" spans="8:10">
      <c r="H448" s="102"/>
      <c r="I448" s="102"/>
      <c r="J448" s="102"/>
    </row>
    <row r="449" spans="8:10">
      <c r="H449" s="102"/>
      <c r="I449" s="102"/>
      <c r="J449" s="102"/>
    </row>
    <row r="450" spans="8:10">
      <c r="H450" s="102"/>
      <c r="I450" s="102"/>
      <c r="J450" s="102"/>
    </row>
    <row r="451" spans="8:10">
      <c r="H451" s="102"/>
      <c r="I451" s="102"/>
      <c r="J451" s="102"/>
    </row>
    <row r="452" spans="8:10">
      <c r="H452" s="102"/>
      <c r="I452" s="102"/>
      <c r="J452" s="102"/>
    </row>
    <row r="453" spans="8:10">
      <c r="H453" s="102"/>
      <c r="I453" s="102"/>
      <c r="J453" s="102"/>
    </row>
    <row r="454" spans="8:10">
      <c r="H454" s="102"/>
      <c r="I454" s="102"/>
      <c r="J454" s="102"/>
    </row>
    <row r="455" spans="8:10">
      <c r="H455" s="102"/>
      <c r="I455" s="102"/>
      <c r="J455" s="102"/>
    </row>
    <row r="456" spans="8:10">
      <c r="H456" s="102"/>
      <c r="I456" s="102"/>
      <c r="J456" s="102"/>
    </row>
    <row r="457" spans="8:10">
      <c r="H457" s="102"/>
      <c r="I457" s="102"/>
      <c r="J457" s="102"/>
    </row>
    <row r="458" spans="8:10">
      <c r="H458" s="102"/>
      <c r="I458" s="102"/>
      <c r="J458" s="102"/>
    </row>
    <row r="459" spans="8:10">
      <c r="H459" s="102"/>
      <c r="I459" s="102"/>
      <c r="J459" s="102"/>
    </row>
    <row r="460" spans="8:10">
      <c r="H460" s="102"/>
      <c r="I460" s="102"/>
      <c r="J460" s="102"/>
    </row>
    <row r="461" spans="8:10">
      <c r="H461" s="102"/>
      <c r="I461" s="102"/>
      <c r="J461" s="102"/>
    </row>
    <row r="462" spans="8:10">
      <c r="H462" s="102"/>
      <c r="I462" s="102"/>
      <c r="J462" s="102"/>
    </row>
    <row r="463" spans="8:10">
      <c r="H463" s="102"/>
      <c r="I463" s="102"/>
      <c r="J463" s="102"/>
    </row>
    <row r="464" spans="8:10">
      <c r="H464" s="102"/>
      <c r="I464" s="102"/>
      <c r="J464" s="102"/>
    </row>
    <row r="465" spans="8:10">
      <c r="H465" s="102"/>
      <c r="I465" s="102"/>
      <c r="J465" s="102"/>
    </row>
    <row r="466" spans="8:10">
      <c r="H466" s="102"/>
      <c r="I466" s="102"/>
      <c r="J466" s="102"/>
    </row>
    <row r="467" spans="8:10">
      <c r="H467" s="102"/>
      <c r="I467" s="102"/>
      <c r="J467" s="102"/>
    </row>
    <row r="468" spans="8:10">
      <c r="H468" s="102"/>
      <c r="I468" s="102"/>
      <c r="J468" s="102"/>
    </row>
    <row r="469" spans="8:10">
      <c r="H469" s="102"/>
      <c r="I469" s="102"/>
      <c r="J469" s="102"/>
    </row>
    <row r="470" spans="8:10">
      <c r="H470" s="102"/>
      <c r="I470" s="102"/>
      <c r="J470" s="102"/>
    </row>
    <row r="471" spans="8:10">
      <c r="H471" s="102"/>
      <c r="I471" s="102"/>
      <c r="J471" s="102"/>
    </row>
    <row r="472" spans="8:10">
      <c r="H472" s="102"/>
      <c r="I472" s="102"/>
      <c r="J472" s="102"/>
    </row>
    <row r="473" spans="8:10">
      <c r="H473" s="102"/>
      <c r="I473" s="102"/>
      <c r="J473" s="102"/>
    </row>
    <row r="474" spans="8:10">
      <c r="H474" s="102"/>
      <c r="I474" s="102"/>
      <c r="J474" s="102"/>
    </row>
    <row r="475" spans="8:10">
      <c r="H475" s="102"/>
      <c r="I475" s="102"/>
      <c r="J475" s="102"/>
    </row>
    <row r="476" spans="8:10">
      <c r="H476" s="102"/>
      <c r="I476" s="102"/>
      <c r="J476" s="102"/>
    </row>
    <row r="477" spans="8:10">
      <c r="H477" s="102"/>
      <c r="I477" s="102"/>
      <c r="J477" s="102"/>
    </row>
    <row r="478" spans="8:10">
      <c r="H478" s="102"/>
      <c r="I478" s="102"/>
      <c r="J478" s="102"/>
    </row>
    <row r="479" spans="8:10">
      <c r="H479" s="102"/>
      <c r="I479" s="102"/>
      <c r="J479" s="102"/>
    </row>
    <row r="480" spans="8:10">
      <c r="H480" s="102"/>
      <c r="I480" s="102"/>
      <c r="J480" s="102"/>
    </row>
    <row r="481" spans="8:10">
      <c r="H481" s="102"/>
      <c r="I481" s="102"/>
      <c r="J481" s="102"/>
    </row>
    <row r="482" spans="8:10">
      <c r="H482" s="102"/>
      <c r="I482" s="102"/>
      <c r="J482" s="102"/>
    </row>
    <row r="483" spans="8:10">
      <c r="H483" s="102"/>
      <c r="I483" s="102"/>
      <c r="J483" s="102"/>
    </row>
    <row r="484" spans="8:10">
      <c r="H484" s="102"/>
      <c r="I484" s="102"/>
      <c r="J484" s="102"/>
    </row>
    <row r="485" spans="8:10">
      <c r="H485" s="102"/>
      <c r="I485" s="102"/>
      <c r="J485" s="102"/>
    </row>
    <row r="486" spans="8:10">
      <c r="H486" s="102"/>
      <c r="I486" s="102"/>
      <c r="J486" s="102"/>
    </row>
    <row r="487" spans="8:10">
      <c r="H487" s="102"/>
      <c r="I487" s="102"/>
      <c r="J487" s="102"/>
    </row>
    <row r="488" spans="8:10">
      <c r="H488" s="102"/>
      <c r="I488" s="102"/>
      <c r="J488" s="102"/>
    </row>
    <row r="489" spans="8:10">
      <c r="H489" s="102"/>
      <c r="I489" s="102"/>
      <c r="J489" s="102"/>
    </row>
    <row r="490" spans="8:10">
      <c r="H490" s="102"/>
      <c r="I490" s="102"/>
      <c r="J490" s="102"/>
    </row>
    <row r="491" spans="8:10">
      <c r="H491" s="102"/>
      <c r="I491" s="102"/>
      <c r="J491" s="102"/>
    </row>
    <row r="492" spans="8:10">
      <c r="H492" s="102"/>
      <c r="I492" s="102"/>
      <c r="J492" s="102"/>
    </row>
    <row r="493" spans="8:10">
      <c r="H493" s="102"/>
      <c r="I493" s="102"/>
      <c r="J493" s="102"/>
    </row>
    <row r="494" spans="8:10">
      <c r="H494" s="102"/>
      <c r="I494" s="102"/>
      <c r="J494" s="102"/>
    </row>
    <row r="495" spans="8:10">
      <c r="H495" s="102"/>
      <c r="I495" s="102"/>
      <c r="J495" s="102"/>
    </row>
    <row r="496" spans="8:10">
      <c r="H496" s="102"/>
      <c r="I496" s="102"/>
      <c r="J496" s="102"/>
    </row>
    <row r="497" spans="8:10">
      <c r="H497" s="102"/>
      <c r="I497" s="102"/>
      <c r="J497" s="102"/>
    </row>
    <row r="498" spans="8:10">
      <c r="H498" s="102"/>
      <c r="I498" s="102"/>
      <c r="J498" s="102"/>
    </row>
    <row r="499" spans="8:10">
      <c r="H499" s="102"/>
      <c r="I499" s="102"/>
      <c r="J499" s="102"/>
    </row>
    <row r="500" spans="8:10">
      <c r="H500" s="102"/>
      <c r="I500" s="102"/>
      <c r="J500" s="102"/>
    </row>
    <row r="501" spans="8:10">
      <c r="H501" s="102"/>
      <c r="I501" s="102"/>
      <c r="J501" s="102"/>
    </row>
    <row r="502" spans="8:10">
      <c r="H502" s="102"/>
      <c r="I502" s="102"/>
      <c r="J502" s="102"/>
    </row>
    <row r="503" spans="8:10">
      <c r="H503" s="102"/>
      <c r="I503" s="102"/>
      <c r="J503" s="102"/>
    </row>
    <row r="504" spans="8:10">
      <c r="H504" s="102"/>
      <c r="I504" s="102"/>
      <c r="J504" s="102"/>
    </row>
    <row r="505" spans="8:10">
      <c r="H505" s="102"/>
      <c r="I505" s="102"/>
      <c r="J505" s="102"/>
    </row>
    <row r="506" spans="8:10">
      <c r="H506" s="102"/>
      <c r="I506" s="102"/>
      <c r="J506" s="102"/>
    </row>
    <row r="507" spans="8:10">
      <c r="H507" s="102"/>
      <c r="I507" s="102"/>
      <c r="J507" s="102"/>
    </row>
    <row r="508" spans="8:10">
      <c r="H508" s="102"/>
      <c r="I508" s="102"/>
      <c r="J508" s="102"/>
    </row>
    <row r="509" spans="8:10">
      <c r="H509" s="102"/>
      <c r="I509" s="102"/>
      <c r="J509" s="102"/>
    </row>
    <row r="510" spans="8:10">
      <c r="H510" s="102"/>
      <c r="I510" s="102"/>
      <c r="J510" s="102"/>
    </row>
    <row r="511" spans="8:10">
      <c r="H511" s="102"/>
      <c r="I511" s="102"/>
      <c r="J511" s="102"/>
    </row>
    <row r="512" spans="8:10">
      <c r="H512" s="102"/>
      <c r="I512" s="102"/>
      <c r="J512" s="102"/>
    </row>
    <row r="513" spans="8:10">
      <c r="H513" s="102"/>
      <c r="I513" s="102"/>
      <c r="J513" s="102"/>
    </row>
    <row r="514" spans="8:10">
      <c r="H514" s="102"/>
      <c r="I514" s="102"/>
      <c r="J514" s="102"/>
    </row>
    <row r="515" spans="8:10">
      <c r="H515" s="102"/>
      <c r="I515" s="102"/>
      <c r="J515" s="102"/>
    </row>
    <row r="516" spans="8:10">
      <c r="H516" s="102"/>
      <c r="I516" s="102"/>
      <c r="J516" s="102"/>
    </row>
    <row r="517" spans="8:10">
      <c r="H517" s="102"/>
      <c r="I517" s="102"/>
      <c r="J517" s="102"/>
    </row>
    <row r="518" spans="8:10">
      <c r="H518" s="102"/>
      <c r="I518" s="102"/>
      <c r="J518" s="102"/>
    </row>
    <row r="519" spans="8:10">
      <c r="H519" s="102"/>
      <c r="I519" s="102"/>
      <c r="J519" s="102"/>
    </row>
    <row r="520" spans="8:10">
      <c r="H520" s="102"/>
      <c r="I520" s="102"/>
      <c r="J520" s="102"/>
    </row>
    <row r="521" spans="8:10">
      <c r="H521" s="102"/>
      <c r="I521" s="102"/>
      <c r="J521" s="102"/>
    </row>
    <row r="522" spans="8:10">
      <c r="H522" s="102"/>
      <c r="I522" s="102"/>
      <c r="J522" s="102"/>
    </row>
    <row r="523" spans="8:10">
      <c r="H523" s="102"/>
      <c r="I523" s="102"/>
      <c r="J523" s="102"/>
    </row>
    <row r="524" spans="8:10">
      <c r="H524" s="102"/>
      <c r="I524" s="102"/>
      <c r="J524" s="102"/>
    </row>
    <row r="525" spans="8:10">
      <c r="H525" s="102"/>
      <c r="I525" s="102"/>
      <c r="J525" s="102"/>
    </row>
    <row r="526" spans="8:10">
      <c r="H526" s="102"/>
      <c r="I526" s="102"/>
      <c r="J526" s="102"/>
    </row>
    <row r="527" spans="8:10">
      <c r="H527" s="102"/>
      <c r="I527" s="102"/>
      <c r="J527" s="102"/>
    </row>
    <row r="528" spans="8:10">
      <c r="H528" s="102"/>
      <c r="I528" s="102"/>
      <c r="J528" s="102"/>
    </row>
    <row r="529" spans="8:10">
      <c r="H529" s="102"/>
      <c r="I529" s="102"/>
      <c r="J529" s="102"/>
    </row>
    <row r="530" spans="8:10">
      <c r="H530" s="102"/>
      <c r="I530" s="102"/>
      <c r="J530" s="102"/>
    </row>
    <row r="531" spans="8:10">
      <c r="H531" s="102"/>
      <c r="I531" s="102"/>
      <c r="J531" s="102"/>
    </row>
    <row r="532" spans="8:10">
      <c r="H532" s="102"/>
      <c r="I532" s="102"/>
      <c r="J532" s="102"/>
    </row>
    <row r="533" spans="8:10">
      <c r="H533" s="102"/>
      <c r="I533" s="102"/>
      <c r="J533" s="102"/>
    </row>
    <row r="534" spans="8:10">
      <c r="H534" s="102"/>
      <c r="I534" s="102"/>
      <c r="J534" s="102"/>
    </row>
    <row r="535" spans="8:10">
      <c r="H535" s="102"/>
      <c r="I535" s="102"/>
      <c r="J535" s="102"/>
    </row>
    <row r="536" spans="8:10">
      <c r="H536" s="102"/>
      <c r="I536" s="102"/>
      <c r="J536" s="102"/>
    </row>
    <row r="537" spans="8:10">
      <c r="H537" s="102"/>
      <c r="I537" s="102"/>
      <c r="J537" s="102"/>
    </row>
    <row r="538" spans="8:10">
      <c r="H538" s="102"/>
      <c r="I538" s="102"/>
      <c r="J538" s="102"/>
    </row>
    <row r="539" spans="8:10">
      <c r="H539" s="102"/>
      <c r="I539" s="102"/>
      <c r="J539" s="102"/>
    </row>
    <row r="540" spans="8:10">
      <c r="H540" s="102"/>
      <c r="I540" s="102"/>
      <c r="J540" s="102"/>
    </row>
    <row r="541" spans="8:10">
      <c r="H541" s="102"/>
      <c r="I541" s="102"/>
      <c r="J541" s="102"/>
    </row>
    <row r="542" spans="8:10">
      <c r="H542" s="102"/>
      <c r="I542" s="102"/>
      <c r="J542" s="102"/>
    </row>
    <row r="543" spans="8:10">
      <c r="H543" s="102"/>
      <c r="I543" s="102"/>
      <c r="J543" s="102"/>
    </row>
    <row r="544" spans="8:10">
      <c r="H544" s="102"/>
      <c r="I544" s="102"/>
      <c r="J544" s="102"/>
    </row>
    <row r="545" spans="8:10">
      <c r="H545" s="102"/>
      <c r="I545" s="102"/>
      <c r="J545" s="102"/>
    </row>
    <row r="546" spans="8:10">
      <c r="H546" s="102"/>
      <c r="I546" s="102"/>
      <c r="J546" s="102"/>
    </row>
    <row r="547" spans="8:10">
      <c r="H547" s="102"/>
      <c r="I547" s="102"/>
      <c r="J547" s="102"/>
    </row>
    <row r="548" spans="8:10">
      <c r="H548" s="102"/>
      <c r="I548" s="102"/>
      <c r="J548" s="102"/>
    </row>
    <row r="549" spans="8:10">
      <c r="H549" s="102"/>
      <c r="I549" s="102"/>
      <c r="J549" s="102"/>
    </row>
    <row r="550" spans="8:10">
      <c r="H550" s="102"/>
      <c r="I550" s="102"/>
      <c r="J550" s="102"/>
    </row>
    <row r="551" spans="8:10">
      <c r="H551" s="102"/>
      <c r="I551" s="102"/>
      <c r="J551" s="102"/>
    </row>
    <row r="552" spans="8:10">
      <c r="H552" s="102"/>
      <c r="I552" s="102"/>
      <c r="J552" s="102"/>
    </row>
    <row r="553" spans="8:10">
      <c r="H553" s="102"/>
      <c r="I553" s="102"/>
      <c r="J553" s="102"/>
    </row>
    <row r="554" spans="8:10">
      <c r="H554" s="102"/>
      <c r="I554" s="102"/>
      <c r="J554" s="102"/>
    </row>
    <row r="555" spans="8:10">
      <c r="H555" s="102"/>
      <c r="I555" s="102"/>
      <c r="J555" s="102"/>
    </row>
    <row r="556" spans="8:10">
      <c r="H556" s="102"/>
      <c r="I556" s="102"/>
      <c r="J556" s="102"/>
    </row>
    <row r="557" spans="8:10">
      <c r="H557" s="102"/>
      <c r="I557" s="102"/>
      <c r="J557" s="102"/>
    </row>
    <row r="558" spans="8:10">
      <c r="H558" s="102"/>
      <c r="I558" s="102"/>
      <c r="J558" s="102"/>
    </row>
    <row r="559" spans="8:10">
      <c r="H559" s="102"/>
      <c r="I559" s="102"/>
      <c r="J559" s="102"/>
    </row>
    <row r="560" spans="8:10">
      <c r="H560" s="102"/>
      <c r="I560" s="102"/>
      <c r="J560" s="102"/>
    </row>
    <row r="561" spans="8:10">
      <c r="H561" s="102"/>
      <c r="I561" s="102"/>
      <c r="J561" s="102"/>
    </row>
    <row r="562" spans="8:10">
      <c r="H562" s="102"/>
      <c r="I562" s="102"/>
      <c r="J562" s="102"/>
    </row>
    <row r="563" spans="8:10">
      <c r="H563" s="102"/>
      <c r="I563" s="102"/>
      <c r="J563" s="102"/>
    </row>
    <row r="564" spans="8:10">
      <c r="H564" s="102"/>
      <c r="I564" s="102"/>
      <c r="J564" s="102"/>
    </row>
    <row r="565" spans="8:10">
      <c r="H565" s="102"/>
      <c r="I565" s="102"/>
      <c r="J565" s="102"/>
    </row>
    <row r="566" spans="8:10">
      <c r="H566" s="102"/>
      <c r="I566" s="102"/>
      <c r="J566" s="102"/>
    </row>
    <row r="567" spans="8:10">
      <c r="H567" s="102"/>
      <c r="I567" s="102"/>
      <c r="J567" s="102"/>
    </row>
    <row r="568" spans="8:10">
      <c r="H568" s="102"/>
      <c r="I568" s="102"/>
      <c r="J568" s="102"/>
    </row>
    <row r="569" spans="8:10">
      <c r="H569" s="102"/>
      <c r="I569" s="102"/>
      <c r="J569" s="102"/>
    </row>
    <row r="570" spans="8:10">
      <c r="H570" s="102"/>
      <c r="I570" s="102"/>
      <c r="J570" s="102"/>
    </row>
    <row r="571" spans="8:10">
      <c r="H571" s="102"/>
      <c r="I571" s="102"/>
      <c r="J571" s="102"/>
    </row>
    <row r="572" spans="8:10">
      <c r="H572" s="102"/>
      <c r="I572" s="102"/>
      <c r="J572" s="102"/>
    </row>
    <row r="573" spans="8:10">
      <c r="H573" s="102"/>
      <c r="I573" s="102"/>
      <c r="J573" s="102"/>
    </row>
    <row r="574" spans="8:10">
      <c r="H574" s="102"/>
      <c r="I574" s="102"/>
      <c r="J574" s="102"/>
    </row>
    <row r="575" spans="8:10">
      <c r="H575" s="102"/>
      <c r="I575" s="102"/>
      <c r="J575" s="102"/>
    </row>
    <row r="576" spans="8:10">
      <c r="H576" s="102"/>
      <c r="I576" s="102"/>
      <c r="J576" s="102"/>
    </row>
    <row r="577" spans="8:10">
      <c r="H577" s="102"/>
      <c r="I577" s="102"/>
      <c r="J577" s="102"/>
    </row>
    <row r="578" spans="8:10">
      <c r="H578" s="102"/>
      <c r="I578" s="102"/>
      <c r="J578" s="102"/>
    </row>
    <row r="579" spans="8:10">
      <c r="H579" s="102"/>
      <c r="I579" s="102"/>
      <c r="J579" s="102"/>
    </row>
    <row r="580" spans="8:10">
      <c r="H580" s="102"/>
      <c r="I580" s="102"/>
      <c r="J580" s="102"/>
    </row>
    <row r="581" spans="8:10">
      <c r="H581" s="102"/>
      <c r="I581" s="102"/>
      <c r="J581" s="102"/>
    </row>
    <row r="582" spans="8:10">
      <c r="H582" s="102"/>
      <c r="I582" s="102"/>
      <c r="J582" s="102"/>
    </row>
    <row r="583" spans="8:10">
      <c r="H583" s="102"/>
      <c r="I583" s="102"/>
      <c r="J583" s="102"/>
    </row>
    <row r="584" spans="8:10">
      <c r="H584" s="102"/>
      <c r="I584" s="102"/>
      <c r="J584" s="102"/>
    </row>
    <row r="585" spans="8:10">
      <c r="H585" s="102"/>
      <c r="I585" s="102"/>
      <c r="J585" s="102"/>
    </row>
    <row r="586" spans="8:10">
      <c r="H586" s="102"/>
      <c r="I586" s="102"/>
      <c r="J586" s="102"/>
    </row>
    <row r="587" spans="8:10">
      <c r="H587" s="102"/>
      <c r="I587" s="102"/>
      <c r="J587" s="102"/>
    </row>
    <row r="588" spans="8:10">
      <c r="H588" s="102"/>
      <c r="I588" s="102"/>
      <c r="J588" s="102"/>
    </row>
    <row r="589" spans="8:10">
      <c r="H589" s="102"/>
      <c r="I589" s="102"/>
      <c r="J589" s="102"/>
    </row>
    <row r="590" spans="8:10">
      <c r="H590" s="102"/>
      <c r="I590" s="102"/>
      <c r="J590" s="102"/>
    </row>
    <row r="591" spans="8:10">
      <c r="H591" s="102"/>
      <c r="I591" s="102"/>
      <c r="J591" s="102"/>
    </row>
    <row r="592" spans="8:10">
      <c r="H592" s="102"/>
      <c r="I592" s="102"/>
      <c r="J592" s="102"/>
    </row>
    <row r="593" spans="8:10">
      <c r="H593" s="102"/>
      <c r="I593" s="102"/>
      <c r="J593" s="102"/>
    </row>
    <row r="594" spans="8:10">
      <c r="H594" s="102"/>
      <c r="I594" s="102"/>
      <c r="J594" s="102"/>
    </row>
    <row r="595" spans="8:10">
      <c r="H595" s="102"/>
      <c r="I595" s="102"/>
      <c r="J595" s="102"/>
    </row>
    <row r="596" spans="8:10">
      <c r="H596" s="102"/>
      <c r="I596" s="102"/>
      <c r="J596" s="102"/>
    </row>
    <row r="597" spans="8:10">
      <c r="H597" s="102"/>
      <c r="I597" s="102"/>
      <c r="J597" s="102"/>
    </row>
    <row r="598" spans="8:10">
      <c r="H598" s="102"/>
      <c r="I598" s="102"/>
      <c r="J598" s="102"/>
    </row>
    <row r="599" spans="8:10">
      <c r="H599" s="102"/>
      <c r="I599" s="102"/>
      <c r="J599" s="102"/>
    </row>
    <row r="600" spans="8:10">
      <c r="H600" s="102"/>
      <c r="I600" s="102"/>
      <c r="J600" s="102"/>
    </row>
    <row r="601" spans="8:10">
      <c r="H601" s="102"/>
      <c r="I601" s="102"/>
      <c r="J601" s="102"/>
    </row>
    <row r="602" spans="8:10">
      <c r="H602" s="102"/>
      <c r="I602" s="102"/>
      <c r="J602" s="102"/>
    </row>
    <row r="603" spans="8:10">
      <c r="H603" s="102"/>
      <c r="I603" s="102"/>
      <c r="J603" s="102"/>
    </row>
    <row r="604" spans="8:10">
      <c r="H604" s="102"/>
      <c r="I604" s="102"/>
      <c r="J604" s="102"/>
    </row>
    <row r="605" spans="8:10">
      <c r="H605" s="102"/>
      <c r="I605" s="102"/>
      <c r="J605" s="102"/>
    </row>
    <row r="606" spans="8:10">
      <c r="H606" s="102"/>
      <c r="I606" s="102"/>
      <c r="J606" s="102"/>
    </row>
    <row r="607" spans="8:10">
      <c r="H607" s="102"/>
      <c r="I607" s="102"/>
      <c r="J607" s="102"/>
    </row>
    <row r="608" spans="8:10">
      <c r="H608" s="102"/>
      <c r="I608" s="102"/>
      <c r="J608" s="102"/>
    </row>
    <row r="609" spans="8:10">
      <c r="H609" s="102"/>
      <c r="I609" s="102"/>
      <c r="J609" s="102"/>
    </row>
    <row r="610" spans="8:10">
      <c r="H610" s="102"/>
      <c r="I610" s="102"/>
      <c r="J610" s="102"/>
    </row>
    <row r="611" spans="8:10">
      <c r="H611" s="102"/>
      <c r="I611" s="102"/>
      <c r="J611" s="102"/>
    </row>
    <row r="612" spans="8:10">
      <c r="H612" s="102"/>
      <c r="I612" s="102"/>
      <c r="J612" s="102"/>
    </row>
    <row r="613" spans="8:10">
      <c r="H613" s="102"/>
      <c r="I613" s="102"/>
      <c r="J613" s="102"/>
    </row>
    <row r="614" spans="8:10">
      <c r="H614" s="102"/>
      <c r="I614" s="102"/>
      <c r="J614" s="102"/>
    </row>
    <row r="615" spans="8:10">
      <c r="H615" s="102"/>
      <c r="I615" s="102"/>
      <c r="J615" s="102"/>
    </row>
    <row r="616" spans="8:10">
      <c r="H616" s="102"/>
      <c r="I616" s="102"/>
      <c r="J616" s="102"/>
    </row>
    <row r="617" spans="8:10">
      <c r="H617" s="102"/>
      <c r="I617" s="102"/>
      <c r="J617" s="102"/>
    </row>
    <row r="618" spans="8:10">
      <c r="H618" s="102"/>
      <c r="I618" s="102"/>
      <c r="J618" s="102"/>
    </row>
    <row r="619" spans="8:10">
      <c r="H619" s="102"/>
      <c r="I619" s="102"/>
      <c r="J619" s="102"/>
    </row>
    <row r="620" spans="8:10">
      <c r="H620" s="102"/>
      <c r="I620" s="102"/>
      <c r="J620" s="102"/>
    </row>
    <row r="621" spans="8:10">
      <c r="H621" s="102"/>
      <c r="I621" s="102"/>
      <c r="J621" s="102"/>
    </row>
    <row r="622" spans="8:10">
      <c r="H622" s="102"/>
      <c r="I622" s="102"/>
      <c r="J622" s="102"/>
    </row>
    <row r="623" spans="8:10">
      <c r="H623" s="102"/>
      <c r="I623" s="102"/>
      <c r="J623" s="102"/>
    </row>
    <row r="624" spans="8:10">
      <c r="H624" s="102"/>
      <c r="I624" s="102"/>
      <c r="J624" s="102"/>
    </row>
    <row r="625" spans="8:10">
      <c r="H625" s="102"/>
      <c r="I625" s="102"/>
      <c r="J625" s="102"/>
    </row>
    <row r="626" spans="8:10">
      <c r="H626" s="102"/>
      <c r="I626" s="102"/>
      <c r="J626" s="102"/>
    </row>
    <row r="627" spans="8:10">
      <c r="H627" s="102"/>
      <c r="I627" s="102"/>
      <c r="J627" s="102"/>
    </row>
    <row r="628" spans="8:10">
      <c r="H628" s="102"/>
      <c r="I628" s="102"/>
      <c r="J628" s="102"/>
    </row>
    <row r="629" spans="8:10">
      <c r="H629" s="102"/>
      <c r="I629" s="102"/>
      <c r="J629" s="102"/>
    </row>
    <row r="630" spans="8:10">
      <c r="H630" s="102"/>
      <c r="I630" s="102"/>
      <c r="J630" s="102"/>
    </row>
    <row r="631" spans="8:10">
      <c r="H631" s="102"/>
      <c r="I631" s="102"/>
      <c r="J631" s="102"/>
    </row>
    <row r="632" spans="8:10">
      <c r="H632" s="102"/>
      <c r="I632" s="102"/>
      <c r="J632" s="102"/>
    </row>
    <row r="633" spans="8:10">
      <c r="H633" s="102"/>
      <c r="I633" s="102"/>
      <c r="J633" s="102"/>
    </row>
    <row r="634" spans="8:10">
      <c r="H634" s="102"/>
      <c r="I634" s="102"/>
      <c r="J634" s="102"/>
    </row>
    <row r="635" spans="8:10">
      <c r="H635" s="102"/>
      <c r="I635" s="102"/>
      <c r="J635" s="102"/>
    </row>
    <row r="636" spans="8:10">
      <c r="H636" s="102"/>
      <c r="I636" s="102"/>
      <c r="J636" s="102"/>
    </row>
    <row r="637" spans="8:10">
      <c r="H637" s="102"/>
      <c r="I637" s="102"/>
      <c r="J637" s="102"/>
    </row>
    <row r="638" spans="8:10">
      <c r="H638" s="102"/>
      <c r="I638" s="102"/>
      <c r="J638" s="102"/>
    </row>
    <row r="639" spans="8:10">
      <c r="H639" s="102"/>
      <c r="I639" s="102"/>
      <c r="J639" s="102"/>
    </row>
    <row r="640" spans="8:10">
      <c r="H640" s="102"/>
      <c r="I640" s="102"/>
      <c r="J640" s="102"/>
    </row>
    <row r="641" spans="8:10">
      <c r="H641" s="102"/>
      <c r="I641" s="102"/>
      <c r="J641" s="102"/>
    </row>
    <row r="642" spans="8:10">
      <c r="H642" s="102"/>
      <c r="I642" s="102"/>
      <c r="J642" s="102"/>
    </row>
    <row r="643" spans="8:10">
      <c r="H643" s="102"/>
      <c r="I643" s="102"/>
      <c r="J643" s="102"/>
    </row>
    <row r="644" spans="8:10">
      <c r="H644" s="102"/>
      <c r="I644" s="102"/>
      <c r="J644" s="102"/>
    </row>
    <row r="645" spans="8:10">
      <c r="H645" s="102"/>
      <c r="I645" s="102"/>
      <c r="J645" s="102"/>
    </row>
    <row r="646" spans="8:10">
      <c r="H646" s="102"/>
      <c r="I646" s="102"/>
      <c r="J646" s="102"/>
    </row>
    <row r="647" spans="8:10">
      <c r="H647" s="102"/>
      <c r="I647" s="102"/>
      <c r="J647" s="102"/>
    </row>
    <row r="648" spans="8:10">
      <c r="H648" s="102"/>
      <c r="I648" s="102"/>
      <c r="J648" s="102"/>
    </row>
    <row r="649" spans="8:10">
      <c r="H649" s="102"/>
      <c r="I649" s="102"/>
      <c r="J649" s="102"/>
    </row>
    <row r="650" spans="8:10">
      <c r="H650" s="102"/>
      <c r="I650" s="102"/>
      <c r="J650" s="102"/>
    </row>
    <row r="651" spans="8:10">
      <c r="H651" s="102"/>
      <c r="I651" s="102"/>
      <c r="J651" s="102"/>
    </row>
    <row r="652" spans="8:10">
      <c r="H652" s="102"/>
      <c r="I652" s="102"/>
      <c r="J652" s="102"/>
    </row>
    <row r="653" spans="8:10">
      <c r="H653" s="102"/>
      <c r="I653" s="102"/>
      <c r="J653" s="102"/>
    </row>
    <row r="654" spans="8:10">
      <c r="H654" s="102"/>
      <c r="I654" s="102"/>
      <c r="J654" s="102"/>
    </row>
    <row r="655" spans="8:10">
      <c r="H655" s="102"/>
      <c r="I655" s="102"/>
      <c r="J655" s="102"/>
    </row>
    <row r="656" spans="8:10">
      <c r="H656" s="102"/>
      <c r="I656" s="102"/>
      <c r="J656" s="102"/>
    </row>
    <row r="657" spans="8:10">
      <c r="H657" s="102"/>
      <c r="I657" s="102"/>
      <c r="J657" s="102"/>
    </row>
    <row r="658" spans="8:10">
      <c r="H658" s="102"/>
      <c r="I658" s="102"/>
      <c r="J658" s="102"/>
    </row>
    <row r="659" spans="8:10">
      <c r="H659" s="102"/>
      <c r="I659" s="102"/>
      <c r="J659" s="102"/>
    </row>
    <row r="660" spans="8:10">
      <c r="H660" s="102"/>
      <c r="I660" s="102"/>
      <c r="J660" s="102"/>
    </row>
    <row r="661" spans="8:10">
      <c r="H661" s="102"/>
      <c r="I661" s="102"/>
      <c r="J661" s="102"/>
    </row>
    <row r="662" spans="8:10">
      <c r="H662" s="102"/>
      <c r="I662" s="102"/>
      <c r="J662" s="102"/>
    </row>
    <row r="663" spans="8:10">
      <c r="H663" s="102"/>
      <c r="I663" s="102"/>
      <c r="J663" s="102"/>
    </row>
    <row r="664" spans="8:10">
      <c r="H664" s="102"/>
      <c r="I664" s="102"/>
      <c r="J664" s="102"/>
    </row>
    <row r="665" spans="8:10">
      <c r="H665" s="102"/>
      <c r="I665" s="102"/>
      <c r="J665" s="102"/>
    </row>
    <row r="666" spans="8:10">
      <c r="H666" s="102"/>
      <c r="I666" s="102"/>
      <c r="J666" s="102"/>
    </row>
    <row r="667" spans="8:10">
      <c r="H667" s="102"/>
      <c r="I667" s="102"/>
      <c r="J667" s="102"/>
    </row>
    <row r="668" spans="8:10">
      <c r="H668" s="102"/>
      <c r="I668" s="102"/>
      <c r="J668" s="102"/>
    </row>
    <row r="669" spans="8:10">
      <c r="H669" s="102"/>
      <c r="I669" s="102"/>
      <c r="J669" s="102"/>
    </row>
    <row r="670" spans="8:10">
      <c r="H670" s="102"/>
      <c r="I670" s="102"/>
      <c r="J670" s="102"/>
    </row>
    <row r="671" spans="8:10">
      <c r="H671" s="102"/>
      <c r="I671" s="102"/>
      <c r="J671" s="102"/>
    </row>
    <row r="672" spans="8:10">
      <c r="H672" s="102"/>
      <c r="I672" s="102"/>
      <c r="J672" s="102"/>
    </row>
    <row r="673" spans="8:10">
      <c r="H673" s="102"/>
      <c r="I673" s="102"/>
      <c r="J673" s="102"/>
    </row>
    <row r="674" spans="8:10">
      <c r="H674" s="102"/>
      <c r="I674" s="102"/>
      <c r="J674" s="102"/>
    </row>
    <row r="675" spans="8:10">
      <c r="H675" s="102"/>
      <c r="I675" s="102"/>
      <c r="J675" s="102"/>
    </row>
    <row r="676" spans="8:10">
      <c r="H676" s="102"/>
      <c r="I676" s="102"/>
      <c r="J676" s="102"/>
    </row>
    <row r="677" spans="8:10">
      <c r="H677" s="102"/>
      <c r="I677" s="102"/>
      <c r="J677" s="102"/>
    </row>
    <row r="678" spans="8:10">
      <c r="H678" s="102"/>
      <c r="I678" s="102"/>
      <c r="J678" s="102"/>
    </row>
    <row r="679" spans="8:10">
      <c r="H679" s="102"/>
      <c r="I679" s="102"/>
      <c r="J679" s="102"/>
    </row>
    <row r="680" spans="8:10">
      <c r="H680" s="102"/>
      <c r="I680" s="102"/>
      <c r="J680" s="102"/>
    </row>
    <row r="681" spans="8:10">
      <c r="H681" s="102"/>
      <c r="I681" s="102"/>
      <c r="J681" s="102"/>
    </row>
    <row r="682" spans="8:10">
      <c r="H682" s="102"/>
      <c r="I682" s="102"/>
      <c r="J682" s="102"/>
    </row>
    <row r="683" spans="8:10">
      <c r="H683" s="102"/>
      <c r="I683" s="102"/>
      <c r="J683" s="102"/>
    </row>
    <row r="684" spans="8:10">
      <c r="H684" s="102"/>
      <c r="I684" s="102"/>
      <c r="J684" s="102"/>
    </row>
    <row r="685" spans="8:10">
      <c r="H685" s="102"/>
      <c r="I685" s="102"/>
      <c r="J685" s="102"/>
    </row>
    <row r="686" spans="8:10">
      <c r="H686" s="102"/>
      <c r="I686" s="102"/>
      <c r="J686" s="102"/>
    </row>
    <row r="687" spans="8:10">
      <c r="H687" s="102"/>
      <c r="I687" s="102"/>
      <c r="J687" s="102"/>
    </row>
    <row r="688" spans="8:10">
      <c r="H688" s="102"/>
      <c r="I688" s="102"/>
      <c r="J688" s="102"/>
    </row>
    <row r="689" spans="8:10">
      <c r="H689" s="102"/>
      <c r="I689" s="102"/>
      <c r="J689" s="102"/>
    </row>
    <row r="690" spans="8:10">
      <c r="H690" s="102"/>
      <c r="I690" s="102"/>
      <c r="J690" s="102"/>
    </row>
    <row r="691" spans="8:10">
      <c r="H691" s="102"/>
      <c r="I691" s="102"/>
      <c r="J691" s="102"/>
    </row>
    <row r="692" spans="8:10">
      <c r="H692" s="102"/>
      <c r="I692" s="102"/>
      <c r="J692" s="102"/>
    </row>
    <row r="693" spans="8:10">
      <c r="H693" s="102"/>
      <c r="I693" s="102"/>
      <c r="J693" s="102"/>
    </row>
    <row r="694" spans="8:10">
      <c r="H694" s="102"/>
      <c r="I694" s="102"/>
      <c r="J694" s="102"/>
    </row>
    <row r="695" spans="8:10">
      <c r="H695" s="102"/>
      <c r="I695" s="102"/>
      <c r="J695" s="102"/>
    </row>
    <row r="696" spans="8:10">
      <c r="H696" s="102"/>
      <c r="I696" s="102"/>
      <c r="J696" s="102"/>
    </row>
    <row r="697" spans="8:10">
      <c r="H697" s="102"/>
      <c r="I697" s="102"/>
      <c r="J697" s="102"/>
    </row>
    <row r="698" spans="8:10">
      <c r="H698" s="102"/>
      <c r="I698" s="102"/>
      <c r="J698" s="102"/>
    </row>
    <row r="699" spans="8:10">
      <c r="H699" s="102"/>
      <c r="I699" s="102"/>
      <c r="J699" s="102"/>
    </row>
    <row r="700" spans="8:10">
      <c r="H700" s="102"/>
      <c r="I700" s="102"/>
      <c r="J700" s="102"/>
    </row>
    <row r="701" spans="8:10">
      <c r="H701" s="102"/>
      <c r="I701" s="102"/>
      <c r="J701" s="102"/>
    </row>
    <row r="702" spans="8:10">
      <c r="H702" s="102"/>
      <c r="I702" s="102"/>
      <c r="J702" s="102"/>
    </row>
    <row r="703" spans="8:10">
      <c r="H703" s="102"/>
      <c r="I703" s="102"/>
      <c r="J703" s="102"/>
    </row>
    <row r="704" spans="8:10">
      <c r="H704" s="102"/>
      <c r="I704" s="102"/>
      <c r="J704" s="102"/>
    </row>
    <row r="705" spans="8:10">
      <c r="H705" s="102"/>
      <c r="I705" s="102"/>
      <c r="J705" s="102"/>
    </row>
    <row r="706" spans="8:10">
      <c r="H706" s="102"/>
      <c r="I706" s="102"/>
      <c r="J706" s="102"/>
    </row>
    <row r="707" spans="8:10">
      <c r="H707" s="102"/>
      <c r="I707" s="102"/>
      <c r="J707" s="102"/>
    </row>
    <row r="708" spans="8:10">
      <c r="H708" s="102"/>
      <c r="I708" s="102"/>
      <c r="J708" s="102"/>
    </row>
    <row r="709" spans="8:10">
      <c r="H709" s="102"/>
      <c r="I709" s="102"/>
      <c r="J709" s="102"/>
    </row>
    <row r="710" spans="8:10">
      <c r="H710" s="102"/>
      <c r="I710" s="102"/>
      <c r="J710" s="102"/>
    </row>
    <row r="711" spans="8:10">
      <c r="H711" s="102"/>
      <c r="I711" s="102"/>
      <c r="J711" s="102"/>
    </row>
    <row r="712" spans="8:10">
      <c r="H712" s="102"/>
      <c r="I712" s="102"/>
      <c r="J712" s="102"/>
    </row>
    <row r="713" spans="8:10">
      <c r="H713" s="102"/>
      <c r="I713" s="102"/>
      <c r="J713" s="102"/>
    </row>
    <row r="714" spans="8:10">
      <c r="H714" s="102"/>
      <c r="I714" s="102"/>
      <c r="J714" s="102"/>
    </row>
    <row r="715" spans="8:10">
      <c r="H715" s="102"/>
      <c r="I715" s="102"/>
      <c r="J715" s="102"/>
    </row>
    <row r="716" spans="8:10">
      <c r="H716" s="102"/>
      <c r="I716" s="102"/>
      <c r="J716" s="102"/>
    </row>
    <row r="717" spans="8:10">
      <c r="H717" s="102"/>
      <c r="I717" s="102"/>
      <c r="J717" s="102"/>
    </row>
    <row r="718" spans="8:10">
      <c r="H718" s="102"/>
      <c r="I718" s="102"/>
      <c r="J718" s="102"/>
    </row>
    <row r="719" spans="8:10">
      <c r="H719" s="102"/>
      <c r="I719" s="102"/>
      <c r="J719" s="102"/>
    </row>
    <row r="720" spans="8:10">
      <c r="H720" s="102"/>
      <c r="I720" s="102"/>
      <c r="J720" s="102"/>
    </row>
    <row r="721" spans="8:10">
      <c r="H721" s="102"/>
      <c r="I721" s="102"/>
      <c r="J721" s="102"/>
    </row>
    <row r="722" spans="8:10">
      <c r="H722" s="102"/>
      <c r="I722" s="102"/>
      <c r="J722" s="102"/>
    </row>
    <row r="723" spans="8:10">
      <c r="H723" s="102"/>
      <c r="I723" s="102"/>
      <c r="J723" s="102"/>
    </row>
    <row r="724" spans="8:10">
      <c r="H724" s="102"/>
      <c r="I724" s="102"/>
      <c r="J724" s="102"/>
    </row>
    <row r="725" spans="8:10">
      <c r="H725" s="102"/>
      <c r="I725" s="102"/>
      <c r="J725" s="102"/>
    </row>
    <row r="726" spans="8:10">
      <c r="H726" s="102"/>
      <c r="I726" s="102"/>
      <c r="J726" s="102"/>
    </row>
    <row r="727" spans="8:10">
      <c r="H727" s="102"/>
      <c r="I727" s="102"/>
      <c r="J727" s="102"/>
    </row>
    <row r="728" spans="8:10">
      <c r="H728" s="102"/>
      <c r="I728" s="102"/>
      <c r="J728" s="102"/>
    </row>
    <row r="729" spans="8:10">
      <c r="H729" s="102"/>
      <c r="I729" s="102"/>
      <c r="J729" s="102"/>
    </row>
    <row r="730" spans="8:10">
      <c r="H730" s="102"/>
      <c r="I730" s="102"/>
      <c r="J730" s="102"/>
    </row>
    <row r="731" spans="8:10">
      <c r="H731" s="102"/>
      <c r="I731" s="102"/>
      <c r="J731" s="102"/>
    </row>
    <row r="732" spans="8:10">
      <c r="H732" s="102"/>
      <c r="I732" s="102"/>
      <c r="J732" s="102"/>
    </row>
    <row r="733" spans="8:10">
      <c r="H733" s="102"/>
      <c r="I733" s="102"/>
      <c r="J733" s="102"/>
    </row>
    <row r="734" spans="8:10">
      <c r="H734" s="102"/>
      <c r="I734" s="102"/>
      <c r="J734" s="102"/>
    </row>
    <row r="735" spans="8:10">
      <c r="H735" s="102"/>
      <c r="I735" s="102"/>
      <c r="J735" s="102"/>
    </row>
    <row r="736" spans="8:10">
      <c r="H736" s="102"/>
      <c r="I736" s="102"/>
      <c r="J736" s="102"/>
    </row>
    <row r="737" spans="8:10">
      <c r="H737" s="102"/>
      <c r="I737" s="102"/>
      <c r="J737" s="102"/>
    </row>
    <row r="738" spans="8:10">
      <c r="H738" s="102"/>
      <c r="I738" s="102"/>
      <c r="J738" s="102"/>
    </row>
    <row r="739" spans="8:10">
      <c r="H739" s="102"/>
      <c r="I739" s="102"/>
      <c r="J739" s="102"/>
    </row>
    <row r="740" spans="8:10">
      <c r="H740" s="102"/>
      <c r="I740" s="102"/>
      <c r="J740" s="102"/>
    </row>
    <row r="741" spans="8:10">
      <c r="H741" s="102"/>
      <c r="I741" s="102"/>
      <c r="J741" s="102"/>
    </row>
    <row r="742" spans="8:10">
      <c r="H742" s="102"/>
      <c r="I742" s="102"/>
      <c r="J742" s="102"/>
    </row>
    <row r="743" spans="8:10">
      <c r="H743" s="102"/>
      <c r="I743" s="102"/>
      <c r="J743" s="102"/>
    </row>
    <row r="744" spans="8:10">
      <c r="H744" s="102"/>
      <c r="I744" s="102"/>
      <c r="J744" s="102"/>
    </row>
    <row r="745" spans="8:10">
      <c r="H745" s="102"/>
      <c r="I745" s="102"/>
      <c r="J745" s="102"/>
    </row>
    <row r="746" spans="8:10">
      <c r="H746" s="102"/>
      <c r="I746" s="102"/>
      <c r="J746" s="102"/>
    </row>
    <row r="747" spans="8:10">
      <c r="H747" s="102"/>
      <c r="I747" s="102"/>
      <c r="J747" s="102"/>
    </row>
    <row r="748" spans="8:10">
      <c r="H748" s="102"/>
      <c r="I748" s="102"/>
      <c r="J748" s="102"/>
    </row>
    <row r="749" spans="8:10">
      <c r="H749" s="102"/>
      <c r="I749" s="102"/>
      <c r="J749" s="102"/>
    </row>
    <row r="750" spans="8:10">
      <c r="H750" s="102"/>
      <c r="I750" s="102"/>
      <c r="J750" s="102"/>
    </row>
    <row r="751" spans="8:10">
      <c r="H751" s="102"/>
      <c r="I751" s="102"/>
      <c r="J751" s="102"/>
    </row>
    <row r="752" spans="8:10">
      <c r="H752" s="102"/>
      <c r="I752" s="102"/>
      <c r="J752" s="102"/>
    </row>
    <row r="753" spans="8:10">
      <c r="H753" s="102"/>
      <c r="I753" s="102"/>
      <c r="J753" s="102"/>
    </row>
    <row r="754" spans="8:10">
      <c r="H754" s="102"/>
      <c r="I754" s="102"/>
      <c r="J754" s="102"/>
    </row>
    <row r="755" spans="8:10">
      <c r="H755" s="102"/>
      <c r="I755" s="102"/>
      <c r="J755" s="102"/>
    </row>
    <row r="756" spans="8:10">
      <c r="H756" s="102"/>
      <c r="I756" s="102"/>
      <c r="J756" s="102"/>
    </row>
    <row r="757" spans="8:10">
      <c r="H757" s="102"/>
      <c r="I757" s="102"/>
      <c r="J757" s="102"/>
    </row>
    <row r="758" spans="8:10">
      <c r="H758" s="102"/>
      <c r="I758" s="102"/>
      <c r="J758" s="102"/>
    </row>
    <row r="759" spans="8:10">
      <c r="H759" s="102"/>
      <c r="I759" s="102"/>
      <c r="J759" s="102"/>
    </row>
    <row r="760" spans="8:10">
      <c r="H760" s="102"/>
      <c r="I760" s="102"/>
      <c r="J760" s="102"/>
    </row>
    <row r="761" spans="8:10">
      <c r="H761" s="102"/>
      <c r="I761" s="102"/>
      <c r="J761" s="102"/>
    </row>
    <row r="762" spans="8:10">
      <c r="H762" s="102"/>
      <c r="I762" s="102"/>
      <c r="J762" s="102"/>
    </row>
    <row r="763" spans="8:10">
      <c r="H763" s="102"/>
      <c r="I763" s="102"/>
      <c r="J763" s="102"/>
    </row>
    <row r="764" spans="8:10">
      <c r="H764" s="102"/>
      <c r="I764" s="102"/>
      <c r="J764" s="102"/>
    </row>
    <row r="765" spans="8:10">
      <c r="H765" s="102"/>
      <c r="I765" s="102"/>
      <c r="J765" s="102"/>
    </row>
    <row r="766" spans="8:10">
      <c r="H766" s="102"/>
      <c r="I766" s="102"/>
      <c r="J766" s="102"/>
    </row>
    <row r="767" spans="8:10">
      <c r="H767" s="102"/>
      <c r="I767" s="102"/>
      <c r="J767" s="102"/>
    </row>
    <row r="768" spans="8:10">
      <c r="H768" s="102"/>
      <c r="I768" s="102"/>
      <c r="J768" s="102"/>
    </row>
    <row r="769" spans="8:10">
      <c r="H769" s="102"/>
      <c r="I769" s="102"/>
      <c r="J769" s="102"/>
    </row>
    <row r="770" spans="8:10">
      <c r="H770" s="102"/>
      <c r="I770" s="102"/>
      <c r="J770" s="102"/>
    </row>
    <row r="771" spans="8:10">
      <c r="H771" s="102"/>
      <c r="I771" s="102"/>
      <c r="J771" s="102"/>
    </row>
    <row r="772" spans="8:10">
      <c r="H772" s="102"/>
      <c r="I772" s="102"/>
      <c r="J772" s="102"/>
    </row>
    <row r="773" spans="8:10">
      <c r="H773" s="102"/>
      <c r="I773" s="102"/>
      <c r="J773" s="102"/>
    </row>
    <row r="774" spans="8:10">
      <c r="H774" s="102"/>
      <c r="I774" s="102"/>
      <c r="J774" s="102"/>
    </row>
    <row r="775" spans="8:10">
      <c r="H775" s="102"/>
      <c r="I775" s="102"/>
      <c r="J775" s="102"/>
    </row>
    <row r="776" spans="8:10">
      <c r="H776" s="102"/>
      <c r="I776" s="102"/>
      <c r="J776" s="102"/>
    </row>
    <row r="777" spans="8:10">
      <c r="H777" s="102"/>
      <c r="I777" s="102"/>
      <c r="J777" s="102"/>
    </row>
    <row r="778" spans="8:10">
      <c r="H778" s="102"/>
      <c r="I778" s="102"/>
      <c r="J778" s="102"/>
    </row>
    <row r="779" spans="8:10">
      <c r="H779" s="102"/>
      <c r="I779" s="102"/>
      <c r="J779" s="102"/>
    </row>
    <row r="780" spans="8:10">
      <c r="H780" s="102"/>
      <c r="I780" s="102"/>
      <c r="J780" s="102"/>
    </row>
    <row r="781" spans="8:10">
      <c r="H781" s="102"/>
      <c r="I781" s="102"/>
      <c r="J781" s="102"/>
    </row>
    <row r="782" spans="8:10">
      <c r="H782" s="102"/>
      <c r="I782" s="102"/>
      <c r="J782" s="102"/>
    </row>
    <row r="783" spans="8:10">
      <c r="H783" s="102"/>
      <c r="I783" s="102"/>
      <c r="J783" s="102"/>
    </row>
  </sheetData>
  <mergeCells count="3">
    <mergeCell ref="C1:E1"/>
    <mergeCell ref="H5:J5"/>
    <mergeCell ref="H6:J6"/>
  </mergeCells>
  <hyperlinks>
    <hyperlink ref="C10" location="'SWM Chts'!A1" display="Charts"/>
    <hyperlink ref="C6" location="'Smmy Chts'!A1" display="Charts"/>
    <hyperlink ref="C11" location="'MBG Chts'!A1" display="Charts"/>
    <hyperlink ref="D6" location="'Smmy Sum'!A1" display="Summary"/>
    <hyperlink ref="E6" location="'Smmy FGD'!A1" display="FGD"/>
    <hyperlink ref="F6" location="'Smmy Fnts'!A1" display="Footnotes"/>
    <hyperlink ref="D10" location="'SWM Sum'!A1" display="Summary"/>
    <hyperlink ref="E10" location="'SWM FGD'!A1" display="FGD"/>
    <hyperlink ref="F10" location="'SWM Fnts'!A1" display="Footnotes"/>
    <hyperlink ref="D11" location="'MBG Sum'!A1" display="Summary"/>
    <hyperlink ref="E11" location="'MBG FGD'!A1" display="FGD"/>
    <hyperlink ref="F11" location="'MBG Fnts'!A1" display="Footnotes"/>
    <hyperlink ref="C12" location="'HSH Chts'!A1" display="Charts"/>
    <hyperlink ref="D12" location="'HSH Sum'!A1" display="Summary"/>
    <hyperlink ref="E12" location="'HSH FGD'!A1" display="FGD"/>
    <hyperlink ref="F12" location="'HSH Fnts'!A1" display="Footnotes"/>
    <hyperlink ref="C13" location="'HSSA Chts'!A1" display="Charts"/>
    <hyperlink ref="D13" location="'HSSA Sum'!A1" display="Summary"/>
    <hyperlink ref="E13" location="'HSSA FGD'!A1" display="FGD"/>
    <hyperlink ref="F13" location="'HSSA Fnts'!A1" display="Footnotes"/>
    <hyperlink ref="C14" location="'MDA Chts'!A1" display="Charts"/>
    <hyperlink ref="D14" location="'MDA Sum'!A1" display="Summary"/>
    <hyperlink ref="E14" location="'MDA FGD'!A1" display="FGD"/>
    <hyperlink ref="F14" location="'MDA Fnts'!A1" display="Footnotes"/>
    <hyperlink ref="C15" location="'THC Chts'!A1" display="Charts"/>
    <hyperlink ref="D15" location="'THC Sum'!A1" display="Summary"/>
    <hyperlink ref="E15" location="'THC FGD'!A1" display="FGD"/>
    <hyperlink ref="F15" location="'THC Fnts'!A1" display="Footnotes"/>
    <hyperlink ref="C16" location="'TAMHSC Chts'!A1" display="Charts"/>
    <hyperlink ref="E16" location="'TAMHSC FGD'!A1" display="FGD"/>
    <hyperlink ref="F16" location="'TAMHSC Fnts'!A1" display="Footnotes"/>
    <hyperlink ref="B7" location="'Smmy HRI SbS'!A1" display="HRI  Institutions - Side by Side Summary"/>
    <hyperlink ref="B24" location="FTSE!A1" display="FTSE &amp; FTFE "/>
    <hyperlink ref="B25" location="Names!A1" display="Names Schedule"/>
    <hyperlink ref="B26" location="Input!A1" display="Template Input Schedule"/>
    <hyperlink ref="B35" location="'T&amp;F Summary'!A1" display="T&amp;F Summary"/>
    <hyperlink ref="B34" location="'TRB Eval HRI'!A1" display="TRB Eval HRI"/>
    <hyperlink ref="C17" location="'UNTHSC Chts'!A1" display="Charts"/>
    <hyperlink ref="C21" location="'RGVM Chts'!A1" display="Charts"/>
    <hyperlink ref="D17" location="'UNTHSC Sum'!A1" display="Summary"/>
    <hyperlink ref="D21" location="'RGVM Sum'!A1" display="Summary"/>
    <hyperlink ref="E17" location="'TTUHSC FGD'!A1" display="FGD"/>
    <hyperlink ref="E21" location="'RGVM FGD'!A1" display="FGD"/>
    <hyperlink ref="F17" location="'UNTHSC Fnts'!A1" display="Footnotes"/>
    <hyperlink ref="F21" location="'RGVM Fnts'!A1" display="Footnotes"/>
    <hyperlink ref="D16" location="'TAMHSC Sum'!A1" display="Summary"/>
    <hyperlink ref="C18" location="'TTUHSC Chts'!A1" display="Charts"/>
    <hyperlink ref="D18" location="'TTUHSC Sum'!A1" display="Summary"/>
    <hyperlink ref="E18" location="'TTUHSC FGD'!A1" display="FGD"/>
    <hyperlink ref="F18" location="'TTUHSC Fnts'!A1" display="Footnotes"/>
    <hyperlink ref="C19" location="'TTUHSCEP Chts'!A1" display="Charts"/>
    <hyperlink ref="D19" location="'TTUHSCEP Sum'!A1" display="Summary"/>
    <hyperlink ref="E19" location="'TTUHSCEP FGD'!A1" display="FGD"/>
    <hyperlink ref="F19" location="'TTUHSCEP Fnts'!A1" display="Footnotes"/>
    <hyperlink ref="C20" location="'AUSM Chts'!A1" display="Charts"/>
    <hyperlink ref="D20" location="'AUSM Sum'!A1" display="Summary"/>
    <hyperlink ref="E20" location="'AUSM FGD'!A1" display="FGD"/>
    <hyperlink ref="F20" location="'AUSM Fnts'!A1" display="Footnotes"/>
    <hyperlink ref="B30" location="'SREB Input'!A1" display="SREB Input"/>
    <hyperlink ref="B31" location="Healthcare!A1" display="Healthcare"/>
    <hyperlink ref="B32" location="'IFRS Smmy (2)'!A1" display="IFRS Smmy (2)"/>
    <hyperlink ref="B33" location="Almanac!A1" display="Almanac"/>
    <hyperlink ref="B36" location="HRI_IE_Context!A1" display="HRI_IE_Context"/>
    <hyperlink ref="B37" location="HRI_IE_Keys!A1" display="HRI_IE_Keys"/>
    <hyperlink ref="B38" location="'HRI Context NA'!A1" display="HRI Context NA"/>
    <hyperlink ref="B39" location="'HRI Keys NA'!A1" display="HRI Keys NA"/>
    <hyperlink ref="B40" location="ComRpt!A1" display="ComRpt"/>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W747"/>
  <sheetViews>
    <sheetView showGridLines="0" zoomScale="85" zoomScaleNormal="85" workbookViewId="0">
      <pane xSplit="6" ySplit="10" topLeftCell="G11" activePane="bottomRight" state="frozen"/>
      <selection activeCell="C36" sqref="C36"/>
      <selection pane="topRight" activeCell="C36" sqref="C36"/>
      <selection pane="bottomLeft" activeCell="C36" sqref="C36"/>
      <selection pane="bottomRight"/>
    </sheetView>
  </sheetViews>
  <sheetFormatPr defaultRowHeight="12.75"/>
  <cols>
    <col min="1" max="1" width="7.28515625" style="453" customWidth="1"/>
    <col min="2" max="2" width="5" style="453" customWidth="1"/>
    <col min="3" max="3" width="7.28515625" style="453" customWidth="1"/>
    <col min="4" max="4" width="25.140625" style="53" customWidth="1"/>
    <col min="5" max="5" width="10.28515625" style="53" customWidth="1"/>
    <col min="6" max="6" width="9.140625" style="53"/>
    <col min="7" max="7" width="11.28515625" style="604" customWidth="1"/>
    <col min="8" max="8" width="15.5703125" style="604" customWidth="1"/>
    <col min="9" max="9" width="13.42578125" style="604" customWidth="1"/>
    <col min="10" max="10" width="15.5703125" style="604" customWidth="1"/>
    <col min="11" max="11" width="14.140625" style="604" customWidth="1"/>
    <col min="12" max="12" width="15" style="604" customWidth="1"/>
    <col min="13" max="13" width="13.7109375" style="604" customWidth="1"/>
    <col min="14" max="14" width="16.42578125" style="604" customWidth="1"/>
    <col min="15" max="15" width="12.7109375" style="604" customWidth="1"/>
    <col min="16" max="16" width="18.5703125" style="604" customWidth="1"/>
    <col min="17" max="17" width="16.140625" style="53" customWidth="1"/>
    <col min="18" max="18" width="14"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103" t="s">
        <v>1159</v>
      </c>
      <c r="H1" s="103"/>
      <c r="I1" s="103"/>
      <c r="J1" s="102"/>
      <c r="K1" s="102"/>
      <c r="L1" s="102"/>
      <c r="M1" s="703" t="s">
        <v>1123</v>
      </c>
      <c r="N1" s="102"/>
      <c r="O1" s="102"/>
      <c r="P1" s="102"/>
    </row>
    <row r="2" spans="1:23">
      <c r="G2" s="103" t="s">
        <v>1504</v>
      </c>
      <c r="H2" s="103"/>
      <c r="I2" s="103"/>
      <c r="J2" s="102"/>
      <c r="K2" s="102"/>
      <c r="L2" s="102"/>
      <c r="M2" s="102"/>
      <c r="N2" s="102"/>
      <c r="O2" s="102"/>
      <c r="P2" s="102"/>
    </row>
    <row r="3" spans="1:23">
      <c r="A3" s="259"/>
      <c r="G3" s="103" t="s">
        <v>1695</v>
      </c>
      <c r="H3" s="103"/>
      <c r="I3" s="103"/>
      <c r="J3" s="102"/>
      <c r="K3" s="102"/>
      <c r="L3" s="102"/>
      <c r="M3" s="102"/>
      <c r="N3" s="102"/>
      <c r="O3" s="102"/>
      <c r="P3" s="102"/>
    </row>
    <row r="4" spans="1:23">
      <c r="G4" s="102"/>
      <c r="H4" s="102"/>
      <c r="I4" s="102"/>
      <c r="J4" s="102"/>
      <c r="K4" s="102"/>
      <c r="L4" s="102"/>
      <c r="M4" s="102"/>
      <c r="N4" s="102"/>
      <c r="O4" s="102"/>
      <c r="P4" s="102"/>
    </row>
    <row r="5" spans="1:23">
      <c r="A5" s="1217"/>
      <c r="B5" s="1218"/>
      <c r="C5" s="1219"/>
      <c r="F5" s="453" t="s">
        <v>1124</v>
      </c>
      <c r="G5" s="102"/>
      <c r="H5" s="102"/>
      <c r="I5" s="102"/>
      <c r="J5" s="102"/>
      <c r="K5" s="102"/>
      <c r="L5" s="102"/>
      <c r="M5" s="102"/>
      <c r="N5" s="102"/>
      <c r="O5" s="102"/>
      <c r="P5" s="102"/>
    </row>
    <row r="6" spans="1:23">
      <c r="E6" s="453">
        <v>2018</v>
      </c>
      <c r="F6" s="453" t="s">
        <v>1125</v>
      </c>
      <c r="G6" s="102"/>
      <c r="H6" s="102"/>
      <c r="I6" s="102"/>
      <c r="J6" s="102"/>
      <c r="K6" s="102"/>
      <c r="L6" s="102"/>
      <c r="M6" s="102"/>
      <c r="N6" s="102"/>
      <c r="O6" s="102"/>
      <c r="P6" s="102"/>
    </row>
    <row r="7" spans="1:23">
      <c r="F7" s="453" t="s">
        <v>1126</v>
      </c>
      <c r="G7" s="102"/>
      <c r="H7" s="102"/>
      <c r="I7" s="102"/>
      <c r="J7" s="102"/>
      <c r="K7" s="102"/>
      <c r="L7" s="102"/>
      <c r="M7" s="102"/>
      <c r="N7" s="102"/>
      <c r="O7" s="102"/>
      <c r="P7" s="102"/>
      <c r="U7" s="1211" t="s">
        <v>1026</v>
      </c>
      <c r="V7" s="1212"/>
      <c r="W7" s="1213"/>
    </row>
    <row r="8" spans="1:23" s="584" customFormat="1" ht="48.75" customHeight="1" thickBot="1">
      <c r="A8" s="810" t="s">
        <v>1035</v>
      </c>
      <c r="B8" s="1220" t="s">
        <v>1127</v>
      </c>
      <c r="C8" s="1220"/>
      <c r="D8" s="585" t="s">
        <v>224</v>
      </c>
      <c r="E8" s="585" t="s">
        <v>1128</v>
      </c>
      <c r="F8" s="585" t="s">
        <v>107</v>
      </c>
      <c r="G8" s="704" t="s">
        <v>197</v>
      </c>
      <c r="H8" s="704" t="s">
        <v>88</v>
      </c>
      <c r="I8" s="704" t="s">
        <v>88</v>
      </c>
      <c r="J8" s="704" t="s">
        <v>1198</v>
      </c>
      <c r="K8" s="704" t="s">
        <v>1198</v>
      </c>
      <c r="L8" s="616" t="s">
        <v>1171</v>
      </c>
      <c r="M8" s="616" t="s">
        <v>1171</v>
      </c>
      <c r="N8" s="704" t="s">
        <v>1199</v>
      </c>
      <c r="O8" s="704" t="s">
        <v>1199</v>
      </c>
      <c r="Q8" s="616"/>
      <c r="S8" s="616"/>
      <c r="T8" s="705"/>
      <c r="U8" s="103" t="s">
        <v>226</v>
      </c>
      <c r="V8" s="104" t="s">
        <v>622</v>
      </c>
      <c r="W8" s="103" t="s">
        <v>623</v>
      </c>
    </row>
    <row r="9" spans="1:23" s="712" customFormat="1" ht="18.75" customHeight="1">
      <c r="A9" s="706"/>
      <c r="B9" s="707"/>
      <c r="C9" s="707"/>
      <c r="D9" s="708"/>
      <c r="E9" s="707" t="s">
        <v>1129</v>
      </c>
      <c r="F9" s="707" t="s">
        <v>1130</v>
      </c>
      <c r="G9" s="709"/>
      <c r="H9" s="710" t="s">
        <v>1196</v>
      </c>
      <c r="I9" s="710" t="s">
        <v>136</v>
      </c>
      <c r="J9" s="710" t="s">
        <v>1196</v>
      </c>
      <c r="K9" s="710" t="s">
        <v>136</v>
      </c>
      <c r="L9" s="710" t="s">
        <v>1196</v>
      </c>
      <c r="M9" s="710" t="s">
        <v>136</v>
      </c>
      <c r="N9" s="710" t="s">
        <v>1196</v>
      </c>
      <c r="O9" s="1031" t="s">
        <v>136</v>
      </c>
      <c r="P9" s="715"/>
      <c r="Q9" s="102"/>
      <c r="S9" s="711"/>
      <c r="U9" s="811"/>
      <c r="V9" s="811"/>
      <c r="W9" s="811"/>
    </row>
    <row r="10" spans="1:23" ht="18" customHeight="1">
      <c r="A10" s="56"/>
      <c r="D10" s="713"/>
      <c r="E10" s="714" t="s">
        <v>1131</v>
      </c>
      <c r="F10" s="453" t="s">
        <v>1132</v>
      </c>
      <c r="G10" s="783"/>
      <c r="H10" s="715"/>
      <c r="I10" s="715"/>
      <c r="J10" s="715"/>
      <c r="K10" s="715"/>
      <c r="L10" s="715"/>
      <c r="M10" s="715"/>
      <c r="N10" s="715"/>
      <c r="O10" s="716"/>
      <c r="P10" s="102"/>
      <c r="Q10" s="102"/>
      <c r="S10" s="717"/>
      <c r="U10" s="718"/>
      <c r="V10" s="718"/>
      <c r="W10" s="718"/>
    </row>
    <row r="11" spans="1:23" ht="14.25" customHeight="1">
      <c r="A11" s="453">
        <v>390</v>
      </c>
      <c r="D11" s="113" t="s">
        <v>110</v>
      </c>
      <c r="E11" s="407">
        <f t="shared" ref="E11:E24" si="0">$E$6</f>
        <v>2018</v>
      </c>
      <c r="F11" s="801">
        <v>30</v>
      </c>
      <c r="G11" s="1114">
        <f>'SWM Sum'!$C$6</f>
        <v>2166.6799999999998</v>
      </c>
      <c r="H11" s="789">
        <f>'SWM Sum'!$F$38</f>
        <v>664019509</v>
      </c>
      <c r="I11" s="957">
        <f>ROUND(H11/$G11,0)</f>
        <v>306469</v>
      </c>
      <c r="J11" s="789">
        <f>'SWM Sum'!$B$39-'SWM Sum'!$D$39</f>
        <v>3097573750</v>
      </c>
      <c r="K11" s="957">
        <f>ROUND(J11/$G11,0)</f>
        <v>1429641</v>
      </c>
      <c r="L11" s="958">
        <f>'SWM Sum'!$G$14</f>
        <v>0</v>
      </c>
      <c r="M11" s="957">
        <f>ROUND(L11/$G11,0)</f>
        <v>0</v>
      </c>
      <c r="N11" s="958">
        <f>'SWM Sum'!$F$60*-1</f>
        <v>92391990</v>
      </c>
      <c r="O11" s="1115">
        <f>ROUND(N11/$G11,0)</f>
        <v>42642</v>
      </c>
      <c r="P11" s="102"/>
      <c r="Q11" s="102"/>
      <c r="S11" s="717"/>
      <c r="U11" s="718"/>
      <c r="V11" s="718"/>
      <c r="W11" s="718"/>
    </row>
    <row r="12" spans="1:23" ht="14.25" customHeight="1">
      <c r="A12" s="453">
        <v>420</v>
      </c>
      <c r="B12" s="719"/>
      <c r="C12" s="661"/>
      <c r="D12" s="113" t="s">
        <v>112</v>
      </c>
      <c r="E12" s="407">
        <f t="shared" si="0"/>
        <v>2018</v>
      </c>
      <c r="F12" s="801">
        <v>40</v>
      </c>
      <c r="G12" s="1114">
        <f>'HSSA Sum'!$C$6</f>
        <v>3827.8999999999996</v>
      </c>
      <c r="H12" s="789">
        <f>'HSSA Sum'!$F$38</f>
        <v>315167866</v>
      </c>
      <c r="I12" s="789">
        <f t="shared" ref="I12:K24" si="1">ROUND(H12/$G12,0)</f>
        <v>82334</v>
      </c>
      <c r="J12" s="789">
        <f>'HSSA Sum'!$B$39-'HSSA Sum'!$D$39</f>
        <v>862573573</v>
      </c>
      <c r="K12" s="789">
        <f t="shared" si="1"/>
        <v>225339</v>
      </c>
      <c r="L12" s="958">
        <f>'HSSA Sum'!$G$14</f>
        <v>0</v>
      </c>
      <c r="M12" s="789">
        <f t="shared" ref="M12:O12" si="2">ROUND(L12/$G12,0)</f>
        <v>0</v>
      </c>
      <c r="N12" s="958">
        <f>'HSSA Sum'!$F$60*-1</f>
        <v>29069659</v>
      </c>
      <c r="O12" s="958">
        <f t="shared" si="2"/>
        <v>7594</v>
      </c>
      <c r="P12" s="102"/>
      <c r="Q12" s="102"/>
      <c r="S12" s="721"/>
      <c r="U12" s="596"/>
      <c r="V12" s="596"/>
      <c r="W12" s="596"/>
    </row>
    <row r="13" spans="1:23">
      <c r="A13" s="453">
        <v>450</v>
      </c>
      <c r="B13" s="719"/>
      <c r="C13" s="661"/>
      <c r="D13" s="113" t="s">
        <v>114</v>
      </c>
      <c r="E13" s="407">
        <f t="shared" si="0"/>
        <v>2018</v>
      </c>
      <c r="F13" s="801">
        <v>89</v>
      </c>
      <c r="G13" s="1114">
        <f>'TAMHSC Sum'!$C$6</f>
        <v>3113.57</v>
      </c>
      <c r="H13" s="789">
        <f>'TAMHSC Sum'!$F$38</f>
        <v>76854607</v>
      </c>
      <c r="I13" s="789">
        <f t="shared" si="1"/>
        <v>24684</v>
      </c>
      <c r="J13" s="789">
        <f>'TAMHSC Sum'!$B$39-'TAMHSC Sum'!$D$39</f>
        <v>342062105</v>
      </c>
      <c r="K13" s="789">
        <f t="shared" si="1"/>
        <v>109862</v>
      </c>
      <c r="L13" s="958">
        <f>'TAMHSC Sum'!$G$14</f>
        <v>18599332</v>
      </c>
      <c r="M13" s="789">
        <f t="shared" ref="M13:O13" si="3">ROUND(L13/$G13,0)</f>
        <v>5974</v>
      </c>
      <c r="N13" s="958">
        <f>'TAMHSC Sum'!$F$60*-1</f>
        <v>21613244</v>
      </c>
      <c r="O13" s="958">
        <f t="shared" si="3"/>
        <v>6942</v>
      </c>
      <c r="P13" s="102"/>
      <c r="Q13" s="102"/>
      <c r="S13" s="721"/>
      <c r="U13" s="596"/>
      <c r="V13" s="596"/>
      <c r="W13" s="596"/>
    </row>
    <row r="14" spans="1:23">
      <c r="A14" s="453">
        <v>460</v>
      </c>
      <c r="B14" s="719"/>
      <c r="C14" s="661"/>
      <c r="D14" s="113" t="s">
        <v>116</v>
      </c>
      <c r="E14" s="407">
        <f t="shared" si="0"/>
        <v>2018</v>
      </c>
      <c r="F14" s="801">
        <v>130</v>
      </c>
      <c r="G14" s="1114">
        <f>'UNTHSC Sum'!$C$6</f>
        <v>2836.2200000000003</v>
      </c>
      <c r="H14" s="789">
        <f>'UNTHSC Sum'!$F$38</f>
        <v>78314362</v>
      </c>
      <c r="I14" s="789">
        <f t="shared" si="1"/>
        <v>27612</v>
      </c>
      <c r="J14" s="789">
        <f>'UNTHSC Sum'!$B$39-'UNTHSC Sum'!$D$39</f>
        <v>283503886</v>
      </c>
      <c r="K14" s="789">
        <f t="shared" si="1"/>
        <v>99958</v>
      </c>
      <c r="L14" s="958">
        <f>'UNTHSC Sum'!$G$14</f>
        <v>17091856</v>
      </c>
      <c r="M14" s="789">
        <f t="shared" ref="M14:O14" si="4">ROUND(L14/$G14,0)</f>
        <v>6026</v>
      </c>
      <c r="N14" s="958">
        <f>'UNTHSC Sum'!$F$60*-1</f>
        <v>3110650</v>
      </c>
      <c r="O14" s="958">
        <f t="shared" si="4"/>
        <v>1097</v>
      </c>
      <c r="P14" s="102"/>
      <c r="Q14" s="102"/>
      <c r="S14" s="722"/>
      <c r="U14" s="596"/>
      <c r="V14" s="596"/>
      <c r="W14" s="596"/>
    </row>
    <row r="15" spans="1:23">
      <c r="A15" s="453">
        <v>440</v>
      </c>
      <c r="B15" s="719"/>
      <c r="C15" s="661"/>
      <c r="D15" s="113" t="s">
        <v>1300</v>
      </c>
      <c r="E15" s="407">
        <f t="shared" si="0"/>
        <v>2018</v>
      </c>
      <c r="F15" s="801">
        <v>42439</v>
      </c>
      <c r="G15" s="1114">
        <f>'THC Sum'!$C$6</f>
        <v>30.130000000000003</v>
      </c>
      <c r="H15" s="789">
        <f>'THC Sum'!$F$38</f>
        <v>42663652</v>
      </c>
      <c r="I15" s="789" t="s">
        <v>1197</v>
      </c>
      <c r="J15" s="789">
        <f>'THC Sum'!$B$39-'THC Sum'!$D$39</f>
        <v>197516790</v>
      </c>
      <c r="K15" s="789" t="s">
        <v>1197</v>
      </c>
      <c r="L15" s="958">
        <f>'THC Sum'!$G$14</f>
        <v>0</v>
      </c>
      <c r="M15" s="789" t="s">
        <v>1197</v>
      </c>
      <c r="N15" s="958">
        <f>'THC Sum'!$F$60*-1</f>
        <v>7700545</v>
      </c>
      <c r="O15" s="958" t="s">
        <v>1197</v>
      </c>
      <c r="P15" s="102"/>
      <c r="Q15" s="102"/>
      <c r="S15" s="722"/>
      <c r="U15" s="596"/>
      <c r="V15" s="596"/>
      <c r="W15" s="596"/>
    </row>
    <row r="16" spans="1:23">
      <c r="A16" s="453">
        <v>470</v>
      </c>
      <c r="B16" s="719"/>
      <c r="C16" s="661"/>
      <c r="D16" s="113" t="s">
        <v>120</v>
      </c>
      <c r="E16" s="407">
        <f t="shared" si="0"/>
        <v>2018</v>
      </c>
      <c r="F16" s="801">
        <v>412</v>
      </c>
      <c r="G16" s="1114">
        <f>'TTUHSC Sum'!$C$6</f>
        <v>5735.93</v>
      </c>
      <c r="H16" s="789">
        <f>'TTUHSC Sum'!$F$38</f>
        <v>193107295</v>
      </c>
      <c r="I16" s="789">
        <f t="shared" si="1"/>
        <v>33666</v>
      </c>
      <c r="J16" s="789">
        <f>'TTUHSC Sum'!$B$39-'TTUHSC Sum'!$D$39</f>
        <v>687855285</v>
      </c>
      <c r="K16" s="789">
        <f t="shared" si="1"/>
        <v>119920</v>
      </c>
      <c r="L16" s="958">
        <f>'TTUHSC Sum'!$G$14</f>
        <v>23372396</v>
      </c>
      <c r="M16" s="789">
        <f t="shared" ref="M16:O16" si="5">ROUND(L16/$G16,0)</f>
        <v>4075</v>
      </c>
      <c r="N16" s="958">
        <f>'TTUHSC Sum'!$F$60*-1</f>
        <v>13989425</v>
      </c>
      <c r="O16" s="958">
        <f t="shared" si="5"/>
        <v>2439</v>
      </c>
      <c r="P16" s="102"/>
      <c r="Q16" s="102"/>
      <c r="S16" s="721"/>
      <c r="U16" s="596"/>
      <c r="V16" s="596"/>
      <c r="W16" s="596"/>
    </row>
    <row r="17" spans="1:23">
      <c r="A17" s="453">
        <v>410</v>
      </c>
      <c r="B17" s="719"/>
      <c r="C17" s="661"/>
      <c r="D17" s="113" t="s">
        <v>122</v>
      </c>
      <c r="E17" s="407">
        <f t="shared" si="0"/>
        <v>2018</v>
      </c>
      <c r="F17" s="801">
        <v>11618</v>
      </c>
      <c r="G17" s="1114">
        <f>'HSH Sum'!$C$6</f>
        <v>4887.8900000000003</v>
      </c>
      <c r="H17" s="789">
        <f>'HSH Sum'!$F$38</f>
        <v>770621878</v>
      </c>
      <c r="I17" s="789">
        <f t="shared" si="1"/>
        <v>157659</v>
      </c>
      <c r="J17" s="789">
        <f>'HSH Sum'!$B$39-'HSH Sum'!$D$39</f>
        <v>1655677635</v>
      </c>
      <c r="K17" s="789">
        <f t="shared" si="1"/>
        <v>338731</v>
      </c>
      <c r="L17" s="958">
        <f>'HSH Sum'!$G$14</f>
        <v>0</v>
      </c>
      <c r="M17" s="789">
        <f t="shared" ref="M17:O17" si="6">ROUND(L17/$G17,0)</f>
        <v>0</v>
      </c>
      <c r="N17" s="958">
        <f>'HSH Sum'!$F$60*-1</f>
        <v>26547209</v>
      </c>
      <c r="O17" s="958">
        <f t="shared" si="6"/>
        <v>5431</v>
      </c>
      <c r="P17" s="102"/>
      <c r="Q17" s="102"/>
      <c r="S17" s="722"/>
      <c r="T17" s="57"/>
      <c r="U17" s="596"/>
      <c r="V17" s="596"/>
      <c r="W17" s="596"/>
    </row>
    <row r="18" spans="1:23">
      <c r="A18" s="453">
        <v>430</v>
      </c>
      <c r="B18" s="719"/>
      <c r="C18" s="661"/>
      <c r="D18" s="113" t="s">
        <v>124</v>
      </c>
      <c r="E18" s="407">
        <f t="shared" si="0"/>
        <v>2018</v>
      </c>
      <c r="F18" s="801">
        <v>25554</v>
      </c>
      <c r="G18" s="1114">
        <f>'MDA Sum'!$C$6</f>
        <v>378.18</v>
      </c>
      <c r="H18" s="789">
        <f>'MDA Sum'!$F$38</f>
        <v>601525506</v>
      </c>
      <c r="I18" s="789">
        <f t="shared" si="1"/>
        <v>1590580</v>
      </c>
      <c r="J18" s="789">
        <f>'MDA Sum'!$B$39-'MDA Sum'!$D$39</f>
        <v>5120598413</v>
      </c>
      <c r="K18" s="789">
        <f t="shared" si="1"/>
        <v>13540109</v>
      </c>
      <c r="L18" s="958">
        <f>'MDA Sum'!$G$14</f>
        <v>0</v>
      </c>
      <c r="M18" s="789">
        <f t="shared" ref="M18:O18" si="7">ROUND(L18/$G18,0)</f>
        <v>0</v>
      </c>
      <c r="N18" s="958">
        <f>'MDA Sum'!$F$60*-1</f>
        <v>79218248</v>
      </c>
      <c r="O18" s="958">
        <f t="shared" si="7"/>
        <v>209472</v>
      </c>
      <c r="P18" s="102"/>
      <c r="Q18" s="102"/>
      <c r="S18" s="722"/>
      <c r="U18" s="596"/>
      <c r="V18" s="596"/>
      <c r="W18" s="596"/>
    </row>
    <row r="19" spans="1:23" s="57" customFormat="1">
      <c r="A19" s="376">
        <v>400</v>
      </c>
      <c r="B19" s="961"/>
      <c r="C19" s="72"/>
      <c r="D19" s="206" t="s">
        <v>125</v>
      </c>
      <c r="E19" s="950">
        <f t="shared" si="0"/>
        <v>2018</v>
      </c>
      <c r="F19" s="857">
        <v>104952</v>
      </c>
      <c r="G19" s="1114">
        <f>'MBG Sum'!$C$6</f>
        <v>3693.9200000000005</v>
      </c>
      <c r="H19" s="789">
        <f>'MBG Sum'!$F$38</f>
        <v>263833835</v>
      </c>
      <c r="I19" s="789">
        <f>ROUND(H19/$G19,0)</f>
        <v>71424</v>
      </c>
      <c r="J19" s="789">
        <f>'MBG Sum'!$B$39-'MBG Sum'!$D$39</f>
        <v>2208776596</v>
      </c>
      <c r="K19" s="789">
        <f>ROUND(J19/$G19,0)</f>
        <v>597949</v>
      </c>
      <c r="L19" s="958">
        <f>'MBG Sum'!$G$14</f>
        <v>0</v>
      </c>
      <c r="M19" s="789">
        <f>ROUND(L19/$G19,0)</f>
        <v>0</v>
      </c>
      <c r="N19" s="958">
        <f>'MBG Sum'!$F$60*-1</f>
        <v>82939517</v>
      </c>
      <c r="O19" s="958">
        <f>ROUND(N19/$G19,0)</f>
        <v>22453</v>
      </c>
      <c r="P19" s="220"/>
      <c r="Q19" s="220"/>
      <c r="S19" s="962"/>
      <c r="U19" s="954"/>
      <c r="V19" s="954"/>
      <c r="W19" s="954"/>
    </row>
    <row r="20" spans="1:23">
      <c r="A20" s="453">
        <v>480</v>
      </c>
      <c r="C20" s="801"/>
      <c r="D20" s="206" t="s">
        <v>1324</v>
      </c>
      <c r="E20" s="950">
        <f t="shared" si="0"/>
        <v>2018</v>
      </c>
      <c r="F20" s="801">
        <v>862</v>
      </c>
      <c r="G20" s="1114">
        <f>'TTUHSCEP Sum'!$C$6</f>
        <v>737.31000000000006</v>
      </c>
      <c r="H20" s="789">
        <f>'TTUHSCEP Sum'!$F$38</f>
        <v>103937406</v>
      </c>
      <c r="I20" s="789">
        <f t="shared" ref="I20:I22" si="8">ROUND(H20/$G20,0)</f>
        <v>140968</v>
      </c>
      <c r="J20" s="789">
        <f>'TTUHSCEP Sum'!$B$39-'TTUHSCEP Sum'!$D$39</f>
        <v>256545181</v>
      </c>
      <c r="K20" s="789">
        <f t="shared" ref="K20:K22" si="9">ROUND(J20/$G20,0)</f>
        <v>347948</v>
      </c>
      <c r="L20" s="958">
        <f>'TTUHSCEP Sum'!$G$14</f>
        <v>6234075</v>
      </c>
      <c r="M20" s="789">
        <f t="shared" ref="M20:M22" si="10">ROUND(L20/$G20,0)</f>
        <v>8455</v>
      </c>
      <c r="N20" s="958">
        <f>'TTUHSCEP Sum'!$F$60*-1</f>
        <v>12509606</v>
      </c>
      <c r="O20" s="958">
        <f t="shared" ref="O20:O22" si="11">ROUND(N20/$G20,0)</f>
        <v>16967</v>
      </c>
      <c r="P20" s="102"/>
      <c r="Q20" s="102"/>
      <c r="S20" s="722"/>
      <c r="U20" s="596"/>
      <c r="V20" s="596"/>
      <c r="W20" s="596"/>
    </row>
    <row r="21" spans="1:23">
      <c r="A21" s="453">
        <v>500</v>
      </c>
      <c r="C21" s="801"/>
      <c r="D21" s="113" t="s">
        <v>1319</v>
      </c>
      <c r="E21" s="950">
        <f t="shared" si="0"/>
        <v>2018</v>
      </c>
      <c r="F21" s="801">
        <v>203599</v>
      </c>
      <c r="G21" s="1114">
        <f>'RGVM Sum'!$C$6</f>
        <v>101</v>
      </c>
      <c r="H21" s="789">
        <f>'RGVM Sum'!$F$38</f>
        <v>45251058</v>
      </c>
      <c r="I21" s="789">
        <f>ROUND(H21/$G21,0)</f>
        <v>448030</v>
      </c>
      <c r="J21" s="789">
        <f>'RGVM Sum'!$B$39-'RGVM Sum'!$D$39</f>
        <v>85488857</v>
      </c>
      <c r="K21" s="789">
        <f>ROUND(J21/$G21,0)</f>
        <v>846424</v>
      </c>
      <c r="L21" s="958">
        <f>'RGVM Sum'!$G$14</f>
        <v>0</v>
      </c>
      <c r="M21" s="789">
        <f>ROUND(L21/$G21,0)</f>
        <v>0</v>
      </c>
      <c r="N21" s="958">
        <f>'RGVM Sum'!$F$60*-1</f>
        <v>0</v>
      </c>
      <c r="O21" s="958">
        <f>ROUND(N21/$G21,0)</f>
        <v>0</v>
      </c>
      <c r="P21" s="102"/>
      <c r="Q21" s="102"/>
      <c r="S21" s="722"/>
      <c r="U21" s="596"/>
      <c r="V21" s="596"/>
      <c r="W21" s="596"/>
    </row>
    <row r="22" spans="1:23">
      <c r="A22" s="453">
        <v>510</v>
      </c>
      <c r="C22" s="801"/>
      <c r="D22" s="113" t="s">
        <v>1318</v>
      </c>
      <c r="E22" s="950">
        <f t="shared" si="0"/>
        <v>2018</v>
      </c>
      <c r="F22" s="801">
        <v>203658</v>
      </c>
      <c r="G22" s="1114">
        <f>'AUSM Sum'!$C$6</f>
        <v>100</v>
      </c>
      <c r="H22" s="789">
        <f>'AUSM Sum'!$F$38</f>
        <v>69340795</v>
      </c>
      <c r="I22" s="789">
        <f t="shared" si="8"/>
        <v>693408</v>
      </c>
      <c r="J22" s="789">
        <f>'AUSM Sum'!$B$39-'AUSM Sum'!$D$39</f>
        <v>117448141</v>
      </c>
      <c r="K22" s="789">
        <f t="shared" si="9"/>
        <v>1174481</v>
      </c>
      <c r="L22" s="958">
        <f>'AUSM Sum'!$G$14</f>
        <v>24977265</v>
      </c>
      <c r="M22" s="789">
        <f t="shared" si="10"/>
        <v>249773</v>
      </c>
      <c r="N22" s="958">
        <f>'AUSM Sum'!$F$60*-1</f>
        <v>20028051</v>
      </c>
      <c r="O22" s="958">
        <f t="shared" si="11"/>
        <v>200281</v>
      </c>
      <c r="P22" s="102"/>
      <c r="Q22" s="102"/>
      <c r="S22" s="722"/>
      <c r="U22" s="596"/>
      <c r="V22" s="596"/>
      <c r="W22" s="596"/>
    </row>
    <row r="23" spans="1:23">
      <c r="B23" s="719"/>
      <c r="C23" s="661"/>
      <c r="D23" s="113"/>
      <c r="E23" s="407"/>
      <c r="F23" s="801"/>
      <c r="G23" s="1114"/>
      <c r="H23" s="789"/>
      <c r="I23" s="789"/>
      <c r="J23" s="789"/>
      <c r="K23" s="789"/>
      <c r="L23" s="958"/>
      <c r="M23" s="789"/>
      <c r="N23" s="958"/>
      <c r="O23" s="958"/>
      <c r="P23" s="102"/>
      <c r="Q23" s="102"/>
      <c r="S23" s="722"/>
      <c r="U23" s="596"/>
      <c r="V23" s="596"/>
      <c r="W23" s="596"/>
    </row>
    <row r="24" spans="1:23" ht="13.5" thickBot="1">
      <c r="A24" s="599"/>
      <c r="B24" s="599"/>
      <c r="C24" s="599">
        <f>COUNTA(D11:D23)</f>
        <v>12</v>
      </c>
      <c r="D24" s="600" t="s">
        <v>126</v>
      </c>
      <c r="E24" s="723">
        <f t="shared" si="0"/>
        <v>2018</v>
      </c>
      <c r="F24" s="802">
        <v>445566</v>
      </c>
      <c r="G24" s="959">
        <f>'Smmy Sum'!$C$18</f>
        <v>27608.730000000007</v>
      </c>
      <c r="H24" s="790">
        <f>'Smmy Sum'!$F$50</f>
        <v>3224637769</v>
      </c>
      <c r="I24" s="790">
        <f t="shared" si="1"/>
        <v>116798</v>
      </c>
      <c r="J24" s="790">
        <f>'Smmy Sum'!$B$51-'Smmy Sum'!$D$51</f>
        <v>14915620212</v>
      </c>
      <c r="K24" s="790">
        <f t="shared" si="1"/>
        <v>540250</v>
      </c>
      <c r="L24" s="960">
        <f>'Smmy Sum'!$G$26</f>
        <v>90274924</v>
      </c>
      <c r="M24" s="790">
        <f t="shared" ref="M24:O24" si="12">ROUND(L24/$G24,0)</f>
        <v>3270</v>
      </c>
      <c r="N24" s="960">
        <f>'Smmy Sum'!$F$72*-1</f>
        <v>389118144</v>
      </c>
      <c r="O24" s="960">
        <f t="shared" si="12"/>
        <v>14094</v>
      </c>
      <c r="P24" s="102"/>
      <c r="Q24" s="102"/>
      <c r="S24" s="724"/>
      <c r="U24" s="102"/>
      <c r="V24" s="102"/>
      <c r="W24" s="102"/>
    </row>
    <row r="25" spans="1:23" s="102" customFormat="1" ht="13.5" thickTop="1">
      <c r="A25" s="101"/>
      <c r="B25" s="101"/>
      <c r="C25" s="101"/>
      <c r="R25" s="602"/>
      <c r="S25" s="602"/>
    </row>
    <row r="26" spans="1:23" s="102" customFormat="1">
      <c r="A26" s="101"/>
      <c r="B26" s="101"/>
      <c r="C26" s="101"/>
    </row>
    <row r="27" spans="1:23" s="102" customFormat="1">
      <c r="A27" s="101"/>
      <c r="B27" s="101"/>
      <c r="C27" s="101"/>
    </row>
    <row r="28" spans="1:23" s="102" customFormat="1">
      <c r="A28" s="101"/>
      <c r="B28" s="101"/>
      <c r="C28" s="101"/>
    </row>
    <row r="29" spans="1:23" s="102" customFormat="1">
      <c r="A29" s="101"/>
      <c r="B29" s="101"/>
      <c r="C29" s="101"/>
    </row>
    <row r="30" spans="1:23" s="102" customFormat="1">
      <c r="A30" s="101"/>
      <c r="B30" s="101"/>
      <c r="C30" s="101"/>
    </row>
    <row r="31" spans="1:23" s="102" customFormat="1">
      <c r="A31" s="101"/>
      <c r="B31" s="101"/>
      <c r="C31" s="101"/>
    </row>
    <row r="32" spans="1:23" s="102" customFormat="1">
      <c r="A32" s="101"/>
      <c r="B32" s="101"/>
      <c r="C32" s="101"/>
    </row>
    <row r="33" spans="1:3" s="102" customFormat="1">
      <c r="A33" s="101"/>
      <c r="B33" s="101"/>
      <c r="C33" s="101"/>
    </row>
    <row r="34" spans="1:3" s="102" customFormat="1">
      <c r="A34" s="101"/>
      <c r="B34" s="101"/>
      <c r="C34" s="101"/>
    </row>
    <row r="35" spans="1:3" s="102" customFormat="1">
      <c r="A35" s="101"/>
      <c r="B35" s="101"/>
      <c r="C35" s="101"/>
    </row>
    <row r="36" spans="1:3" s="102" customFormat="1">
      <c r="A36" s="101"/>
      <c r="B36" s="101"/>
      <c r="C36" s="101"/>
    </row>
    <row r="37" spans="1:3" s="102" customFormat="1">
      <c r="A37" s="101"/>
      <c r="B37" s="101"/>
      <c r="C37" s="101"/>
    </row>
    <row r="38" spans="1:3" s="102" customFormat="1">
      <c r="A38" s="101"/>
      <c r="B38" s="101"/>
      <c r="C38" s="101"/>
    </row>
    <row r="39" spans="1:3" s="102" customFormat="1">
      <c r="A39" s="101"/>
      <c r="B39" s="101"/>
      <c r="C39" s="101"/>
    </row>
    <row r="40" spans="1:3" s="102" customFormat="1">
      <c r="A40" s="101"/>
      <c r="B40" s="101"/>
      <c r="C40" s="101"/>
    </row>
    <row r="41" spans="1:3" s="102" customFormat="1">
      <c r="A41" s="101"/>
      <c r="B41" s="101"/>
      <c r="C41" s="101"/>
    </row>
    <row r="42" spans="1:3" s="102" customFormat="1">
      <c r="A42" s="101"/>
      <c r="B42" s="101"/>
      <c r="C42" s="101"/>
    </row>
    <row r="43" spans="1:3" s="102" customFormat="1">
      <c r="A43" s="101"/>
      <c r="B43" s="101"/>
      <c r="C43" s="101"/>
    </row>
    <row r="44" spans="1:3" s="102" customFormat="1">
      <c r="A44" s="101"/>
      <c r="B44" s="101"/>
      <c r="C44" s="101"/>
    </row>
    <row r="45" spans="1:3" s="102" customFormat="1">
      <c r="A45" s="101"/>
      <c r="B45" s="101"/>
      <c r="C45" s="101"/>
    </row>
    <row r="46" spans="1:3" s="102" customFormat="1">
      <c r="A46" s="101"/>
      <c r="B46" s="101"/>
      <c r="C46" s="101"/>
    </row>
    <row r="47" spans="1:3" s="102" customFormat="1">
      <c r="A47" s="101"/>
      <c r="B47" s="101"/>
      <c r="C47" s="101"/>
    </row>
    <row r="48" spans="1:3" s="102" customFormat="1">
      <c r="A48" s="101"/>
      <c r="B48" s="101"/>
      <c r="C48" s="101"/>
    </row>
    <row r="49" spans="1:3" s="102" customFormat="1">
      <c r="A49" s="101"/>
      <c r="B49" s="101"/>
      <c r="C49" s="101"/>
    </row>
    <row r="50" spans="1:3" s="102" customFormat="1">
      <c r="A50" s="101"/>
      <c r="B50" s="101"/>
      <c r="C50" s="101"/>
    </row>
    <row r="51" spans="1:3" s="102" customFormat="1">
      <c r="A51" s="101"/>
      <c r="B51" s="101"/>
      <c r="C51" s="101"/>
    </row>
    <row r="52" spans="1:3" s="102" customFormat="1">
      <c r="A52" s="101"/>
      <c r="B52" s="101"/>
      <c r="C52" s="101"/>
    </row>
    <row r="53" spans="1:3" s="102" customFormat="1">
      <c r="A53" s="101"/>
      <c r="B53" s="101"/>
      <c r="C53" s="101"/>
    </row>
    <row r="54" spans="1:3" s="102" customFormat="1">
      <c r="A54" s="101"/>
      <c r="B54" s="101"/>
      <c r="C54" s="101"/>
    </row>
    <row r="55" spans="1:3" s="102" customFormat="1">
      <c r="A55" s="101"/>
      <c r="B55" s="101"/>
      <c r="C55" s="101"/>
    </row>
    <row r="56" spans="1:3" s="102" customFormat="1">
      <c r="A56" s="101"/>
      <c r="B56" s="101"/>
      <c r="C56" s="101"/>
    </row>
    <row r="57" spans="1:3" s="102" customFormat="1">
      <c r="A57" s="101"/>
      <c r="B57" s="101"/>
      <c r="C57" s="101"/>
    </row>
    <row r="58" spans="1:3" s="102" customFormat="1">
      <c r="A58" s="101"/>
      <c r="B58" s="101"/>
      <c r="C58" s="101"/>
    </row>
    <row r="59" spans="1:3" s="102" customFormat="1">
      <c r="A59" s="101"/>
      <c r="B59" s="101"/>
      <c r="C59" s="101"/>
    </row>
    <row r="60" spans="1:3" s="102" customFormat="1">
      <c r="A60" s="101"/>
      <c r="B60" s="101"/>
      <c r="C60" s="101"/>
    </row>
    <row r="61" spans="1:3" s="102" customFormat="1">
      <c r="A61" s="101"/>
      <c r="B61" s="101"/>
      <c r="C61" s="101"/>
    </row>
    <row r="62" spans="1:3" s="102" customFormat="1">
      <c r="A62" s="101"/>
      <c r="B62" s="101"/>
      <c r="C62" s="101"/>
    </row>
    <row r="63" spans="1:3" s="102" customFormat="1">
      <c r="A63" s="101"/>
      <c r="B63" s="101"/>
      <c r="C63" s="101"/>
    </row>
    <row r="64" spans="1:3"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23" s="102" customFormat="1">
      <c r="A737" s="101"/>
      <c r="B737" s="101"/>
      <c r="C737" s="101"/>
    </row>
    <row r="738" spans="1:23" s="102" customFormat="1">
      <c r="A738" s="101"/>
      <c r="B738" s="101"/>
      <c r="C738" s="101"/>
    </row>
    <row r="739" spans="1:23" s="102" customFormat="1">
      <c r="A739" s="101"/>
      <c r="B739" s="101"/>
      <c r="C739" s="101"/>
    </row>
    <row r="740" spans="1:23" s="102" customFormat="1">
      <c r="A740" s="101"/>
      <c r="B740" s="101"/>
      <c r="C740" s="101"/>
    </row>
    <row r="741" spans="1:23" s="102" customFormat="1">
      <c r="A741" s="101"/>
      <c r="B741" s="101"/>
      <c r="C741" s="101"/>
    </row>
    <row r="742" spans="1:23" s="102" customFormat="1">
      <c r="A742" s="101"/>
      <c r="B742" s="101"/>
      <c r="C742" s="101"/>
    </row>
    <row r="743" spans="1:23" s="102" customFormat="1">
      <c r="A743" s="101"/>
      <c r="B743" s="101"/>
      <c r="C743" s="101"/>
    </row>
    <row r="744" spans="1:23" s="102" customFormat="1">
      <c r="A744" s="101"/>
      <c r="B744" s="101"/>
      <c r="C744" s="101"/>
    </row>
    <row r="745" spans="1:23" s="102" customFormat="1">
      <c r="A745" s="101"/>
      <c r="B745" s="101"/>
      <c r="C745" s="101"/>
    </row>
    <row r="746" spans="1:23" s="102" customFormat="1">
      <c r="A746" s="101"/>
      <c r="B746" s="101"/>
      <c r="C746" s="101"/>
    </row>
    <row r="747" spans="1:23" s="102" customFormat="1">
      <c r="A747" s="101"/>
      <c r="B747" s="101"/>
      <c r="C747" s="101"/>
      <c r="U747" s="53"/>
      <c r="V747" s="53"/>
      <c r="W747" s="53"/>
    </row>
  </sheetData>
  <mergeCells count="3">
    <mergeCell ref="A5:C5"/>
    <mergeCell ref="U7:W7"/>
    <mergeCell ref="B8:C8"/>
  </mergeCells>
  <hyperlinks>
    <hyperlink ref="M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A770"/>
  <sheetViews>
    <sheetView showGridLines="0" zoomScale="85" zoomScaleNormal="85" workbookViewId="0">
      <pane xSplit="6" ySplit="10" topLeftCell="G11" activePane="bottomRight" state="frozen"/>
      <selection activeCell="C36" sqref="C36"/>
      <selection pane="topRight" activeCell="C36" sqref="C36"/>
      <selection pane="bottomLeft" activeCell="C36" sqref="C36"/>
      <selection pane="bottomRight" activeCell="J1" sqref="J1"/>
    </sheetView>
  </sheetViews>
  <sheetFormatPr defaultRowHeight="12.75"/>
  <cols>
    <col min="1" max="1" width="7.28515625" style="453" customWidth="1"/>
    <col min="2" max="2" width="5" style="453" customWidth="1"/>
    <col min="3" max="3" width="5.28515625" style="453" customWidth="1"/>
    <col min="4" max="4" width="25.140625" style="53" customWidth="1"/>
    <col min="5" max="5" width="10.28515625" style="53" customWidth="1"/>
    <col min="6" max="6" width="11.140625" style="53" customWidth="1"/>
    <col min="7" max="7" width="15.42578125" style="604" customWidth="1"/>
    <col min="8" max="8" width="12.85546875" style="604" customWidth="1"/>
    <col min="9" max="9" width="12.7109375" style="604" customWidth="1"/>
    <col min="10" max="10" width="13" style="53" customWidth="1"/>
    <col min="11" max="11" width="14.85546875" style="53" customWidth="1"/>
    <col min="12" max="12" width="15.5703125" style="53" customWidth="1"/>
    <col min="13" max="13" width="13.7109375" style="53" customWidth="1"/>
    <col min="14" max="14" width="5.140625" style="53" customWidth="1"/>
    <col min="15" max="15" width="13.5703125" style="53" bestFit="1" customWidth="1"/>
    <col min="16" max="16" width="13.28515625" style="53" customWidth="1"/>
    <col min="17" max="17" width="12.42578125" style="53" customWidth="1"/>
    <col min="18" max="18" width="12.85546875" style="53" customWidth="1"/>
    <col min="19" max="19" width="12.42578125" style="53" bestFit="1" customWidth="1"/>
    <col min="20" max="20" width="13.7109375" style="53" bestFit="1" customWidth="1"/>
    <col min="21" max="21" width="13.42578125" style="53" customWidth="1"/>
    <col min="22" max="22" width="3.42578125" style="53" customWidth="1"/>
    <col min="23" max="23" width="14.28515625" style="53" customWidth="1"/>
    <col min="24" max="24" width="9.140625" style="53"/>
    <col min="25" max="25" width="20.42578125" style="53" customWidth="1"/>
    <col min="26" max="26" width="18.28515625" style="53" customWidth="1"/>
    <col min="27" max="27" width="28.85546875" style="53" customWidth="1"/>
    <col min="28" max="16384" width="9.140625" style="53"/>
  </cols>
  <sheetData>
    <row r="1" spans="1:27" ht="13.5" thickBot="1">
      <c r="G1" s="103" t="s">
        <v>1400</v>
      </c>
      <c r="H1" s="102"/>
      <c r="I1" s="102"/>
      <c r="J1" s="703" t="s">
        <v>1123</v>
      </c>
    </row>
    <row r="2" spans="1:27">
      <c r="G2" s="103" t="s">
        <v>1505</v>
      </c>
      <c r="H2" s="102"/>
      <c r="I2" s="102"/>
    </row>
    <row r="3" spans="1:27">
      <c r="A3" s="259"/>
      <c r="G3" s="103" t="s">
        <v>1695</v>
      </c>
      <c r="H3" s="102"/>
      <c r="I3" s="102"/>
    </row>
    <row r="4" spans="1:27">
      <c r="G4" s="102"/>
      <c r="H4" s="102"/>
      <c r="I4" s="102"/>
    </row>
    <row r="5" spans="1:27">
      <c r="A5" s="1217"/>
      <c r="B5" s="1218"/>
      <c r="C5" s="1219"/>
      <c r="F5" s="453" t="s">
        <v>1124</v>
      </c>
      <c r="G5" s="102"/>
      <c r="H5" s="102"/>
      <c r="I5" s="102"/>
    </row>
    <row r="6" spans="1:27" ht="13.5" thickBot="1">
      <c r="E6" s="453">
        <v>2018</v>
      </c>
      <c r="F6" s="453" t="s">
        <v>1125</v>
      </c>
      <c r="G6" s="102"/>
      <c r="H6" s="102"/>
      <c r="I6" s="102"/>
    </row>
    <row r="7" spans="1:27" ht="13.5" thickBot="1">
      <c r="F7" s="453" t="s">
        <v>1126</v>
      </c>
      <c r="G7" s="102"/>
      <c r="H7" s="102"/>
      <c r="I7" s="102"/>
      <c r="Y7" s="1194" t="s">
        <v>1277</v>
      </c>
      <c r="Z7" s="1195"/>
      <c r="AA7" s="1196"/>
    </row>
    <row r="8" spans="1:27" s="584" customFormat="1" ht="48.75" customHeight="1" thickBot="1">
      <c r="A8" s="990" t="s">
        <v>1035</v>
      </c>
      <c r="B8" s="1220" t="s">
        <v>1127</v>
      </c>
      <c r="C8" s="1220"/>
      <c r="D8" s="989" t="s">
        <v>224</v>
      </c>
      <c r="E8" s="989" t="s">
        <v>1128</v>
      </c>
      <c r="F8" s="989" t="s">
        <v>107</v>
      </c>
      <c r="G8" s="704" t="s">
        <v>642</v>
      </c>
      <c r="H8" s="704" t="s">
        <v>1350</v>
      </c>
      <c r="I8" s="704" t="s">
        <v>1351</v>
      </c>
      <c r="J8" s="704" t="s">
        <v>1352</v>
      </c>
      <c r="K8" s="704" t="s">
        <v>1353</v>
      </c>
      <c r="L8" s="704" t="s">
        <v>1354</v>
      </c>
      <c r="M8" s="704" t="s">
        <v>1237</v>
      </c>
      <c r="N8" s="988"/>
      <c r="O8" s="704" t="s">
        <v>648</v>
      </c>
      <c r="P8" s="704" t="s">
        <v>1350</v>
      </c>
      <c r="Q8" s="704" t="s">
        <v>1351</v>
      </c>
      <c r="R8" s="704" t="s">
        <v>1352</v>
      </c>
      <c r="S8" s="704" t="s">
        <v>1353</v>
      </c>
      <c r="T8" s="704" t="s">
        <v>1354</v>
      </c>
      <c r="U8" s="704" t="s">
        <v>1239</v>
      </c>
      <c r="V8" s="704"/>
      <c r="W8" s="704" t="s">
        <v>1349</v>
      </c>
      <c r="Y8" s="1191" t="s">
        <v>1026</v>
      </c>
      <c r="Z8" s="1192"/>
      <c r="AA8" s="1193"/>
    </row>
    <row r="9" spans="1:27" s="712" customFormat="1" ht="18.75" customHeight="1">
      <c r="A9" s="706"/>
      <c r="B9" s="707"/>
      <c r="C9" s="707"/>
      <c r="D9" s="708"/>
      <c r="E9" s="707"/>
      <c r="F9" s="707"/>
      <c r="G9" s="1000"/>
      <c r="H9" s="1001"/>
      <c r="I9" s="1001"/>
      <c r="J9" s="1001"/>
      <c r="K9" s="1001"/>
      <c r="L9" s="1001"/>
      <c r="M9" s="1002"/>
      <c r="N9" s="707"/>
      <c r="O9" s="1000"/>
      <c r="P9" s="1001"/>
      <c r="Q9" s="1001"/>
      <c r="R9" s="1001"/>
      <c r="S9" s="1001"/>
      <c r="T9" s="1001"/>
      <c r="U9" s="1002"/>
      <c r="V9" s="707"/>
      <c r="W9" s="710"/>
      <c r="Y9" s="103" t="s">
        <v>226</v>
      </c>
      <c r="Z9" s="104" t="s">
        <v>622</v>
      </c>
      <c r="AA9" s="103" t="s">
        <v>623</v>
      </c>
    </row>
    <row r="10" spans="1:27" ht="18" customHeight="1">
      <c r="A10" s="56"/>
      <c r="D10" s="713"/>
      <c r="E10" s="991" t="s">
        <v>1131</v>
      </c>
      <c r="F10" s="453" t="s">
        <v>1132</v>
      </c>
      <c r="G10" s="1003"/>
      <c r="H10" s="376"/>
      <c r="I10" s="376"/>
      <c r="J10" s="376"/>
      <c r="K10" s="376"/>
      <c r="L10" s="376"/>
      <c r="M10" s="1004"/>
      <c r="N10" s="453"/>
      <c r="O10" s="1003"/>
      <c r="P10" s="376"/>
      <c r="Q10" s="376"/>
      <c r="R10" s="376"/>
      <c r="S10" s="376"/>
      <c r="T10" s="376"/>
      <c r="U10" s="1004"/>
      <c r="V10" s="453"/>
      <c r="W10" s="992"/>
    </row>
    <row r="11" spans="1:27" ht="14.25" customHeight="1">
      <c r="A11" s="453">
        <v>390</v>
      </c>
      <c r="D11" s="113" t="s">
        <v>110</v>
      </c>
      <c r="E11" s="407">
        <f t="shared" ref="E11:E22" si="0">$E$6</f>
        <v>2018</v>
      </c>
      <c r="F11" s="801">
        <v>30</v>
      </c>
      <c r="G11" s="1005">
        <f>'SWM FGD'!$M$23</f>
        <v>25276410</v>
      </c>
      <c r="H11" s="1006">
        <f>'SWM FGD'!$M$24</f>
        <v>0</v>
      </c>
      <c r="I11" s="1006">
        <f>'SWM FGD'!$M$25</f>
        <v>0</v>
      </c>
      <c r="J11" s="1006">
        <f>'SWM FGD'!$M$26</f>
        <v>-297179</v>
      </c>
      <c r="K11" s="1006">
        <f>'SWM FGD'!$M$27</f>
        <v>0</v>
      </c>
      <c r="L11" s="1006">
        <f>'SWM FGD'!$M$28</f>
        <v>-400636</v>
      </c>
      <c r="M11" s="1007">
        <f>SUM(G11:L11)</f>
        <v>24578595</v>
      </c>
      <c r="N11" s="1008"/>
      <c r="O11" s="1005">
        <f>'SWM FGD'!$M$36</f>
        <v>2634407</v>
      </c>
      <c r="P11" s="1006">
        <f>'SWM FGD'!$M$37</f>
        <v>0</v>
      </c>
      <c r="Q11" s="1006">
        <f>'SWM FGD'!$M$38</f>
        <v>0</v>
      </c>
      <c r="R11" s="1006">
        <f>'SWM FGD'!$M$39</f>
        <v>0</v>
      </c>
      <c r="S11" s="1006">
        <f>'SWM FGD'!$M$40</f>
        <v>0</v>
      </c>
      <c r="T11" s="1006">
        <f>'SWM FGD'!$M$41</f>
        <v>-185473</v>
      </c>
      <c r="U11" s="1007">
        <f>SUM(O11:T11)</f>
        <v>2448934</v>
      </c>
      <c r="V11" s="1006"/>
      <c r="W11" s="993">
        <f>U11+M11</f>
        <v>27027529</v>
      </c>
      <c r="Y11" s="596" t="str">
        <f>'SWM FGD'!$P$103</f>
        <v>John Schmidt</v>
      </c>
      <c r="Z11" s="596" t="str">
        <f>'SWM FGD'!$R$103</f>
        <v>214-648-0888</v>
      </c>
      <c r="AA11" s="829" t="str">
        <f>HYPERLINK("Mailto:"&amp;'SWM FGD'!$U$103,'SWM FGD'!$U$103)</f>
        <v>John.Schmidt@UTSouthwestern.edu</v>
      </c>
    </row>
    <row r="12" spans="1:27">
      <c r="A12" s="453">
        <v>420</v>
      </c>
      <c r="B12" s="719"/>
      <c r="C12" s="661"/>
      <c r="D12" s="113" t="s">
        <v>112</v>
      </c>
      <c r="E12" s="407">
        <f t="shared" si="0"/>
        <v>2018</v>
      </c>
      <c r="F12" s="801">
        <v>40</v>
      </c>
      <c r="G12" s="1005">
        <f>'HSSA FGD'!$M$23</f>
        <v>47884012</v>
      </c>
      <c r="H12" s="1006">
        <f>'HSSA FGD'!$M$24</f>
        <v>0</v>
      </c>
      <c r="I12" s="1006">
        <f>'HSSA FGD'!$M$25</f>
        <v>0</v>
      </c>
      <c r="J12" s="1006">
        <f>'HSSA FGD'!$M$26</f>
        <v>-1190020</v>
      </c>
      <c r="K12" s="1006">
        <f>'HSSA FGD'!$M$27</f>
        <v>0</v>
      </c>
      <c r="L12" s="1006">
        <f>'HSSA FGD'!$M$28</f>
        <v>-3086263</v>
      </c>
      <c r="M12" s="1007">
        <f t="shared" ref="M12:M19" si="1">SUM(G12:L12)</f>
        <v>43607729</v>
      </c>
      <c r="N12" s="1008"/>
      <c r="O12" s="1005">
        <f>'HSSA FGD'!$M$36</f>
        <v>2815216</v>
      </c>
      <c r="P12" s="1006">
        <f>'HSSA FGD'!$M$37</f>
        <v>0</v>
      </c>
      <c r="Q12" s="1006">
        <f>'HSSA FGD'!$M$38</f>
        <v>0</v>
      </c>
      <c r="R12" s="1006">
        <f>'HSSA FGD'!$M$39</f>
        <v>-132224</v>
      </c>
      <c r="S12" s="1006">
        <f>'HSSA FGD'!$M$40</f>
        <v>0</v>
      </c>
      <c r="T12" s="1006">
        <f>'HSSA FGD'!$M$41</f>
        <v>-342918</v>
      </c>
      <c r="U12" s="1007">
        <f t="shared" ref="U12:U19" si="2">SUM(O12:T12)</f>
        <v>2340074</v>
      </c>
      <c r="V12" s="1006"/>
      <c r="W12" s="993">
        <f t="shared" ref="W12:W22" si="3">U12+M12</f>
        <v>45947803</v>
      </c>
      <c r="Y12" s="596" t="str">
        <f>'MBG FGD'!$P$103</f>
        <v>Craig Elmore</v>
      </c>
      <c r="Z12" s="596" t="str">
        <f>'MBG FGD'!$R$103</f>
        <v>409-772-7525</v>
      </c>
      <c r="AA12" s="829" t="str">
        <f>HYPERLINK("Mailto:"&amp;'MBG FGD'!$U$103,'MBG FGD'!$U$103)</f>
        <v>crelmore@utmb.edu</v>
      </c>
    </row>
    <row r="13" spans="1:27">
      <c r="A13" s="453">
        <v>450</v>
      </c>
      <c r="B13" s="719"/>
      <c r="C13" s="661"/>
      <c r="D13" s="113" t="s">
        <v>114</v>
      </c>
      <c r="E13" s="407">
        <f t="shared" si="0"/>
        <v>2018</v>
      </c>
      <c r="F13" s="801">
        <v>89</v>
      </c>
      <c r="G13" s="1005">
        <f>'TAMHSC FGD'!$M$23</f>
        <v>27772438</v>
      </c>
      <c r="H13" s="1006">
        <f>'TAMHSC FGD'!$M$24</f>
        <v>0</v>
      </c>
      <c r="I13" s="1006">
        <f>'TAMHSC FGD'!$M$25</f>
        <v>0</v>
      </c>
      <c r="J13" s="1006">
        <f>'TAMHSC FGD'!$M$26</f>
        <v>-419462</v>
      </c>
      <c r="K13" s="1006">
        <f>'TAMHSC FGD'!$M$27</f>
        <v>0</v>
      </c>
      <c r="L13" s="1006">
        <f>'TAMHSC FGD'!$M$28</f>
        <v>-2072655</v>
      </c>
      <c r="M13" s="1007">
        <f t="shared" si="1"/>
        <v>25280321</v>
      </c>
      <c r="N13" s="1008"/>
      <c r="O13" s="1005">
        <f>'TAMHSC FGD'!$M$36</f>
        <v>14139084</v>
      </c>
      <c r="P13" s="1006">
        <f>'TAMHSC FGD'!$M$37</f>
        <v>0</v>
      </c>
      <c r="Q13" s="1006">
        <f>'TAMHSC FGD'!$M$38</f>
        <v>0</v>
      </c>
      <c r="R13" s="1006">
        <f>'TAMHSC FGD'!$M$39</f>
        <v>-271987</v>
      </c>
      <c r="S13" s="1006">
        <f>'TAMHSC FGD'!$M$40</f>
        <v>0</v>
      </c>
      <c r="T13" s="1006">
        <f>'TAMHSC FGD'!$M$41</f>
        <v>-996762</v>
      </c>
      <c r="U13" s="1007">
        <f t="shared" si="2"/>
        <v>12870335</v>
      </c>
      <c r="V13" s="1006"/>
      <c r="W13" s="993">
        <f t="shared" si="3"/>
        <v>38150656</v>
      </c>
      <c r="Y13" s="596" t="str">
        <f>'HSH FGD'!$P$103</f>
        <v>Scott Barnett</v>
      </c>
      <c r="Z13" s="596" t="str">
        <f>'HSH FGD'!$R$103</f>
        <v>713/500-4915</v>
      </c>
      <c r="AA13" s="829" t="str">
        <f>HYPERLINK("Mailto:"&amp;'HSH FGD'!$U$103,'HSH FGD'!$U$103)</f>
        <v>Scott.Barnett@uth.tmc.edu</v>
      </c>
    </row>
    <row r="14" spans="1:27">
      <c r="A14" s="453">
        <v>460</v>
      </c>
      <c r="B14" s="719"/>
      <c r="C14" s="661"/>
      <c r="D14" s="113" t="s">
        <v>116</v>
      </c>
      <c r="E14" s="407">
        <f t="shared" si="0"/>
        <v>2018</v>
      </c>
      <c r="F14" s="801">
        <v>130</v>
      </c>
      <c r="G14" s="1005">
        <f>'UNTHSC FGD'!$M$23</f>
        <v>23863362</v>
      </c>
      <c r="H14" s="1006">
        <f>'UNTHSC FGD'!$M$24</f>
        <v>0</v>
      </c>
      <c r="I14" s="1006">
        <f>'UNTHSC FGD'!$M$25</f>
        <v>0</v>
      </c>
      <c r="J14" s="1006">
        <f>'UNTHSC FGD'!$M$26</f>
        <v>0</v>
      </c>
      <c r="K14" s="1006">
        <f>'UNTHSC FGD'!$M$27</f>
        <v>0</v>
      </c>
      <c r="L14" s="1006">
        <f>'UNTHSC FGD'!$M$28</f>
        <v>-2313156</v>
      </c>
      <c r="M14" s="1007">
        <f t="shared" si="1"/>
        <v>21550206</v>
      </c>
      <c r="N14" s="1008"/>
      <c r="O14" s="1005">
        <f>'UNTHSC FGD'!$M$36</f>
        <v>8683955</v>
      </c>
      <c r="P14" s="1006">
        <f>'UNTHSC FGD'!$M$37</f>
        <v>0</v>
      </c>
      <c r="Q14" s="1006">
        <f>'UNTHSC FGD'!$M$38</f>
        <v>0</v>
      </c>
      <c r="R14" s="1006">
        <f>'UNTHSC FGD'!$M$39</f>
        <v>0</v>
      </c>
      <c r="S14" s="1006">
        <f>'UNTHSC FGD'!$M$40</f>
        <v>0</v>
      </c>
      <c r="T14" s="1006">
        <f>'UNTHSC FGD'!$M$41</f>
        <v>-423279</v>
      </c>
      <c r="U14" s="1007">
        <f t="shared" si="2"/>
        <v>8260676</v>
      </c>
      <c r="V14" s="1006"/>
      <c r="W14" s="993">
        <f t="shared" si="3"/>
        <v>29810882</v>
      </c>
      <c r="Y14" s="596" t="str">
        <f>'HSSA FGD'!$P$103</f>
        <v>Yinwen Li</v>
      </c>
      <c r="Z14" s="596" t="str">
        <f>'HSSA FGD'!$R$103</f>
        <v>(210) 562-6268</v>
      </c>
      <c r="AA14" s="829" t="str">
        <f>HYPERLINK("Mailto:"&amp;'HSSA FGD'!$U$103,'HSSA FGD'!$U$103)</f>
        <v>LIY2@uthscsa.edu</v>
      </c>
    </row>
    <row r="15" spans="1:27">
      <c r="A15" s="453">
        <v>440</v>
      </c>
      <c r="B15" s="719"/>
      <c r="C15" s="661"/>
      <c r="D15" s="113" t="s">
        <v>1300</v>
      </c>
      <c r="E15" s="407">
        <f t="shared" si="0"/>
        <v>2018</v>
      </c>
      <c r="F15" s="801">
        <v>42439</v>
      </c>
      <c r="G15" s="1005">
        <f>'THC FGD'!$M$23</f>
        <v>154040</v>
      </c>
      <c r="H15" s="1006">
        <f>'THC FGD'!$M$24</f>
        <v>0</v>
      </c>
      <c r="I15" s="1006">
        <f>'THC FGD'!$M$25</f>
        <v>0</v>
      </c>
      <c r="J15" s="1006">
        <f>'THC FGD'!$M$26</f>
        <v>0</v>
      </c>
      <c r="K15" s="1006">
        <f>'THC FGD'!$M$27</f>
        <v>0</v>
      </c>
      <c r="L15" s="1006">
        <f>'THC FGD'!$M$28</f>
        <v>0</v>
      </c>
      <c r="M15" s="1007">
        <f t="shared" si="1"/>
        <v>154040</v>
      </c>
      <c r="N15" s="1008"/>
      <c r="O15" s="1005">
        <f>'THC FGD'!$M$36</f>
        <v>28927</v>
      </c>
      <c r="P15" s="1006">
        <f>'THC FGD'!$M$37</f>
        <v>0</v>
      </c>
      <c r="Q15" s="1006">
        <f>'THC FGD'!$M$38</f>
        <v>0</v>
      </c>
      <c r="R15" s="1006">
        <f>'THC FGD'!$M$39</f>
        <v>0</v>
      </c>
      <c r="S15" s="1006">
        <f>'THC FGD'!$M$40</f>
        <v>0</v>
      </c>
      <c r="T15" s="1006">
        <f>'THC FGD'!$M$41</f>
        <v>0</v>
      </c>
      <c r="U15" s="1007">
        <f t="shared" si="2"/>
        <v>28927</v>
      </c>
      <c r="V15" s="1006"/>
      <c r="W15" s="993">
        <f t="shared" si="3"/>
        <v>182967</v>
      </c>
      <c r="Y15" s="596" t="str">
        <f>'MDA FGD'!$P$103</f>
        <v>MARIA AGNES  D. CRUZ</v>
      </c>
      <c r="Z15" s="596" t="str">
        <f>'MDA FGD'!$R$103</f>
        <v>713-745-9518</v>
      </c>
      <c r="AA15" s="829" t="str">
        <f>HYPERLINK("Mailto:"&amp;'MDA FGD'!$U$103,'MDA FGD'!$U$103)</f>
        <v>mcruz@mdanderson.org</v>
      </c>
    </row>
    <row r="16" spans="1:27">
      <c r="A16" s="453">
        <v>470</v>
      </c>
      <c r="B16" s="719"/>
      <c r="C16" s="661"/>
      <c r="D16" s="113" t="s">
        <v>120</v>
      </c>
      <c r="E16" s="407">
        <f t="shared" si="0"/>
        <v>2018</v>
      </c>
      <c r="F16" s="801">
        <v>412</v>
      </c>
      <c r="G16" s="1005">
        <f>'TTUHSC FGD'!$M$23</f>
        <v>45113381</v>
      </c>
      <c r="H16" s="1006">
        <f>'TTUHSC FGD'!$M$24</f>
        <v>0</v>
      </c>
      <c r="I16" s="1006">
        <f>'TTUHSC FGD'!$M$25</f>
        <v>0</v>
      </c>
      <c r="J16" s="1006">
        <f>'TTUHSC FGD'!$M$26</f>
        <v>-1471237</v>
      </c>
      <c r="K16" s="1006">
        <f>'TTUHSC FGD'!$M$27</f>
        <v>0</v>
      </c>
      <c r="L16" s="1006">
        <f>'TTUHSC FGD'!$M$28</f>
        <v>-4862077</v>
      </c>
      <c r="M16" s="1007">
        <f t="shared" si="1"/>
        <v>38780067</v>
      </c>
      <c r="N16" s="1008"/>
      <c r="O16" s="1005">
        <f>'TTUHSC FGD'!$M$36</f>
        <v>14189019</v>
      </c>
      <c r="P16" s="1006">
        <f>'TTUHSC FGD'!$M$37</f>
        <v>0</v>
      </c>
      <c r="Q16" s="1006">
        <f>'TTUHSC FGD'!$M$38</f>
        <v>0</v>
      </c>
      <c r="R16" s="1006">
        <f>'TTUHSC FGD'!$M$39</f>
        <v>-978275</v>
      </c>
      <c r="S16" s="1006">
        <f>'TTUHSC FGD'!$M$40</f>
        <v>0</v>
      </c>
      <c r="T16" s="1006">
        <f>'TTUHSC FGD'!$M$41</f>
        <v>0</v>
      </c>
      <c r="U16" s="1007">
        <f t="shared" si="2"/>
        <v>13210744</v>
      </c>
      <c r="V16" s="1006"/>
      <c r="W16" s="993">
        <f t="shared" si="3"/>
        <v>51990811</v>
      </c>
      <c r="Y16" s="596" t="str">
        <f>'THC FGD'!$P$103</f>
        <v>Natalie Harms</v>
      </c>
      <c r="Z16" s="596" t="str">
        <f>'THC FGD'!$R$103</f>
        <v>(903) 877-7855</v>
      </c>
      <c r="AA16" s="829" t="str">
        <f>HYPERLINK("Mailto:"&amp;'THC FGD'!$U$103,'THC FGD'!$U$103)</f>
        <v>natalie.harms@uthct.edu</v>
      </c>
    </row>
    <row r="17" spans="1:27">
      <c r="A17" s="453">
        <v>410</v>
      </c>
      <c r="B17" s="719"/>
      <c r="C17" s="661"/>
      <c r="D17" s="113" t="s">
        <v>122</v>
      </c>
      <c r="E17" s="407">
        <f t="shared" si="0"/>
        <v>2018</v>
      </c>
      <c r="F17" s="801">
        <v>11618</v>
      </c>
      <c r="G17" s="1005">
        <f>'HSH FGD'!$M$23</f>
        <v>46301675</v>
      </c>
      <c r="H17" s="1006">
        <f>'HSH FGD'!$M$24</f>
        <v>0</v>
      </c>
      <c r="I17" s="1006">
        <f>'HSH FGD'!$M$25</f>
        <v>0</v>
      </c>
      <c r="J17" s="1006">
        <f>'HSH FGD'!$M$26</f>
        <v>-493550</v>
      </c>
      <c r="K17" s="1006">
        <f>'HSH FGD'!$M$27</f>
        <v>0</v>
      </c>
      <c r="L17" s="1006">
        <f>'HSH FGD'!$M$28</f>
        <v>-684917</v>
      </c>
      <c r="M17" s="1007">
        <f t="shared" si="1"/>
        <v>45123208</v>
      </c>
      <c r="N17" s="1008"/>
      <c r="O17" s="1005">
        <f>'HSH FGD'!$M$36</f>
        <v>11794727</v>
      </c>
      <c r="P17" s="1006">
        <f>'HSH FGD'!$M$37</f>
        <v>0</v>
      </c>
      <c r="Q17" s="1006">
        <f>'HSH FGD'!$M$38</f>
        <v>0</v>
      </c>
      <c r="R17" s="1006">
        <f>'HSH FGD'!$M$39</f>
        <v>-230430</v>
      </c>
      <c r="S17" s="1006">
        <f>'HSH FGD'!$M$40</f>
        <v>0</v>
      </c>
      <c r="T17" s="1006">
        <f>'HSH FGD'!$M$41</f>
        <v>-50563</v>
      </c>
      <c r="U17" s="1007">
        <f t="shared" si="2"/>
        <v>11513734</v>
      </c>
      <c r="V17" s="1006"/>
      <c r="W17" s="993">
        <f t="shared" si="3"/>
        <v>56636942</v>
      </c>
      <c r="Y17" s="596" t="str">
        <f>'TAMHSC FGD'!$P$103</f>
        <v>Monica Poehl</v>
      </c>
      <c r="Z17" s="596" t="str">
        <f>'TAMHSC FGD'!$R$103</f>
        <v>979-458-6090</v>
      </c>
      <c r="AA17" s="829" t="str">
        <f>HYPERLINK("Mailto:"&amp;'TAMHSC FGD'!$U$103,'TAMHSC FGD'!$U$103)</f>
        <v>mpoehl@tamus.edu</v>
      </c>
    </row>
    <row r="18" spans="1:27">
      <c r="A18" s="453">
        <v>430</v>
      </c>
      <c r="B18" s="719"/>
      <c r="C18" s="661"/>
      <c r="D18" s="113" t="s">
        <v>124</v>
      </c>
      <c r="E18" s="407">
        <f t="shared" si="0"/>
        <v>2018</v>
      </c>
      <c r="F18" s="801">
        <v>25554</v>
      </c>
      <c r="G18" s="1005">
        <f>'MDA FGD'!$M$23</f>
        <v>999184</v>
      </c>
      <c r="H18" s="1006">
        <f>'MDA FGD'!$M$24</f>
        <v>0</v>
      </c>
      <c r="I18" s="1006">
        <f>'MDA FGD'!$M$25</f>
        <v>0</v>
      </c>
      <c r="J18" s="1006">
        <f>'MDA FGD'!$M$26</f>
        <v>-9200</v>
      </c>
      <c r="K18" s="1006">
        <f>'MDA FGD'!$M$27</f>
        <v>-8648</v>
      </c>
      <c r="L18" s="1006">
        <f>'MDA FGD'!$M$28</f>
        <v>0</v>
      </c>
      <c r="M18" s="1007">
        <f t="shared" si="1"/>
        <v>981336</v>
      </c>
      <c r="N18" s="1008"/>
      <c r="O18" s="1005">
        <f>'MDA FGD'!$M$36</f>
        <v>134722</v>
      </c>
      <c r="P18" s="1006">
        <f>'MDA FGD'!$M$37</f>
        <v>0</v>
      </c>
      <c r="Q18" s="1006">
        <f>'MDA FGD'!$M$38</f>
        <v>0</v>
      </c>
      <c r="R18" s="1006">
        <f>'MDA FGD'!$M$39</f>
        <v>0</v>
      </c>
      <c r="S18" s="1006">
        <f>'MDA FGD'!$M$40</f>
        <v>-2573</v>
      </c>
      <c r="T18" s="1006">
        <f>'MDA FGD'!$M$41</f>
        <v>0</v>
      </c>
      <c r="U18" s="1007">
        <f t="shared" si="2"/>
        <v>132149</v>
      </c>
      <c r="V18" s="1006"/>
      <c r="W18" s="993">
        <f t="shared" si="3"/>
        <v>1113485</v>
      </c>
      <c r="Y18" s="596" t="str">
        <f>'UNTHSC FGD'!$P$103</f>
        <v>Julie Meisinger</v>
      </c>
      <c r="Z18" s="596" t="str">
        <f>'UNTHSC FGD'!$R$103</f>
        <v>817-735-2609</v>
      </c>
      <c r="AA18" s="829" t="str">
        <f>HYPERLINK("Mailto:"&amp;'UNTHSC FGD'!$U$103,'UNTHSC FGD'!$U$103)</f>
        <v>julie.meisinger@untsystem.edu</v>
      </c>
    </row>
    <row r="19" spans="1:27">
      <c r="A19" s="453">
        <v>400</v>
      </c>
      <c r="B19" s="719"/>
      <c r="C19" s="661"/>
      <c r="D19" s="113" t="s">
        <v>125</v>
      </c>
      <c r="E19" s="407">
        <f t="shared" si="0"/>
        <v>2018</v>
      </c>
      <c r="F19" s="801">
        <v>104952</v>
      </c>
      <c r="G19" s="1005">
        <f>'MBG FGD'!$M$23</f>
        <v>35535330</v>
      </c>
      <c r="H19" s="1006">
        <f>'MBG FGD'!$M$24</f>
        <v>0</v>
      </c>
      <c r="I19" s="1006">
        <f>'MBG FGD'!$M$25</f>
        <v>0</v>
      </c>
      <c r="J19" s="1006">
        <f>'MBG FGD'!$M$26</f>
        <v>-667387</v>
      </c>
      <c r="K19" s="1006">
        <f>'MBG FGD'!$M$27</f>
        <v>0</v>
      </c>
      <c r="L19" s="1006">
        <f>'MBG FGD'!$M$28</f>
        <v>-1777881</v>
      </c>
      <c r="M19" s="1007">
        <f t="shared" si="1"/>
        <v>33090062</v>
      </c>
      <c r="N19" s="1008"/>
      <c r="O19" s="1005">
        <f>'MBG FGD'!$M$36</f>
        <v>8539896</v>
      </c>
      <c r="P19" s="1006">
        <f>'MBG FGD'!$M$37</f>
        <v>0</v>
      </c>
      <c r="Q19" s="1006">
        <f>'MBG FGD'!$M$38</f>
        <v>0</v>
      </c>
      <c r="R19" s="1006">
        <f>'MBG FGD'!$M$39</f>
        <v>0</v>
      </c>
      <c r="S19" s="1006">
        <f>'MBG FGD'!$M$40</f>
        <v>0</v>
      </c>
      <c r="T19" s="1006">
        <f>'MBG FGD'!$M$41</f>
        <v>-260996</v>
      </c>
      <c r="U19" s="1007">
        <f t="shared" si="2"/>
        <v>8278900</v>
      </c>
      <c r="V19" s="1006"/>
      <c r="W19" s="993">
        <f t="shared" si="3"/>
        <v>41368962</v>
      </c>
      <c r="Y19" s="596" t="str">
        <f>'TTUHSC FGD'!$P$103</f>
        <v>Rebecca Aguilar</v>
      </c>
      <c r="Z19" s="596" t="str">
        <f>'TTUHSC FGD'!$R$103</f>
        <v>(806) 743-7381</v>
      </c>
      <c r="AA19" s="829" t="str">
        <f>HYPERLINK("Mailto:"&amp;'TTUHSC FGD'!$U$103,'TTUHSC FGD'!$U$103)</f>
        <v>rebecca.aguilar@ttuhsc.edu</v>
      </c>
    </row>
    <row r="20" spans="1:27">
      <c r="A20" s="453">
        <v>480</v>
      </c>
      <c r="B20" s="719"/>
      <c r="C20" s="661"/>
      <c r="D20" s="206" t="s">
        <v>1324</v>
      </c>
      <c r="E20" s="407">
        <f t="shared" si="0"/>
        <v>2018</v>
      </c>
      <c r="F20" s="857">
        <v>862</v>
      </c>
      <c r="G20" s="1005">
        <f>'TTUHSCEP FGD'!$M$23</f>
        <v>8198724</v>
      </c>
      <c r="H20" s="1006">
        <f>'TTUHSCEP FGD'!$M$24</f>
        <v>0</v>
      </c>
      <c r="I20" s="1006">
        <f>'TTUHSCEP FGD'!$M$25</f>
        <v>0</v>
      </c>
      <c r="J20" s="1006">
        <f>'TTUHSCEP FGD'!$M$26</f>
        <v>-187888</v>
      </c>
      <c r="K20" s="1006">
        <f>'TTUHSCEP FGD'!$M$27</f>
        <v>0</v>
      </c>
      <c r="L20" s="1006">
        <f>'TTUHSCEP FGD'!$M$28</f>
        <v>-1436920</v>
      </c>
      <c r="M20" s="1007">
        <f t="shared" ref="M20" si="4">SUM(G20:L20)</f>
        <v>6573916</v>
      </c>
      <c r="N20" s="1008"/>
      <c r="O20" s="1005">
        <f>'TTUHSCEP FGD'!$M$36</f>
        <v>2611631</v>
      </c>
      <c r="P20" s="1006">
        <f>'TTUHSCEP FGD'!$M$37</f>
        <v>0</v>
      </c>
      <c r="Q20" s="1006">
        <f>'TTUHSCEP FGD'!$M$38</f>
        <v>0</v>
      </c>
      <c r="R20" s="1006">
        <f>'TTUHSCEP FGD'!$M$39</f>
        <v>-193977</v>
      </c>
      <c r="S20" s="1006">
        <f>'TTUHSCEP FGD'!$M$40</f>
        <v>0</v>
      </c>
      <c r="T20" s="1006">
        <f>'TTUHSCEP FGD'!$M$41</f>
        <v>0</v>
      </c>
      <c r="U20" s="1007">
        <f t="shared" ref="U20" si="5">SUM(O20:T20)</f>
        <v>2417654</v>
      </c>
      <c r="V20" s="1006"/>
      <c r="W20" s="993">
        <f t="shared" ref="W20" si="6">U20+M20</f>
        <v>8991570</v>
      </c>
      <c r="Y20" s="596" t="str">
        <f>'TTUHSCEP FGD'!$P$103</f>
        <v>Sandra Tapia</v>
      </c>
      <c r="Z20" s="596" t="str">
        <f>'TTUHSCEP FGD'!$R$103</f>
        <v>915-215-4790</v>
      </c>
      <c r="AA20" s="829" t="str">
        <f>HYPERLINK("Mailto:"&amp;'TTUHSCEP FGD'!$U$103,'TTUHSCEP FGD'!$U$103)</f>
        <v>Sandra.tapia@ttuhsc.edu</v>
      </c>
    </row>
    <row r="21" spans="1:27">
      <c r="A21" s="453">
        <v>500</v>
      </c>
      <c r="B21" s="719"/>
      <c r="C21" s="661"/>
      <c r="D21" s="113" t="s">
        <v>1319</v>
      </c>
      <c r="E21" s="950">
        <f t="shared" si="0"/>
        <v>2018</v>
      </c>
      <c r="F21" s="801">
        <v>203599</v>
      </c>
      <c r="G21" s="1005">
        <f>'RGVM FGD'!$M$23</f>
        <v>1802481</v>
      </c>
      <c r="H21" s="1006">
        <f>'RGVM FGD'!$M$24</f>
        <v>0</v>
      </c>
      <c r="I21" s="1006">
        <f>'RGVM FGD'!$M$25</f>
        <v>0</v>
      </c>
      <c r="J21" s="1006">
        <f>'RGVM FGD'!$M$26</f>
        <v>-9611</v>
      </c>
      <c r="K21" s="1006">
        <f>'RGVM FGD'!$M$27</f>
        <v>0</v>
      </c>
      <c r="L21" s="1006">
        <f>'RGVM FGD'!$M$28</f>
        <v>0</v>
      </c>
      <c r="M21" s="1007">
        <f>SUM(G21:L21)</f>
        <v>1792870</v>
      </c>
      <c r="N21" s="1008"/>
      <c r="O21" s="1005">
        <f>'RGVM FGD'!$M$36</f>
        <v>453641</v>
      </c>
      <c r="P21" s="1006">
        <f>'RGVM FGD'!$M$37</f>
        <v>0</v>
      </c>
      <c r="Q21" s="1006">
        <f>'RGVM FGD'!$M$38</f>
        <v>0</v>
      </c>
      <c r="R21" s="1006">
        <f>'RGVM FGD'!$M$39</f>
        <v>0</v>
      </c>
      <c r="S21" s="1006">
        <f>'RGVM FGD'!$M$40</f>
        <v>0</v>
      </c>
      <c r="T21" s="1006">
        <f>'RGVM FGD'!$M$41</f>
        <v>0</v>
      </c>
      <c r="U21" s="1007">
        <f>SUM(O21:T21)</f>
        <v>453641</v>
      </c>
      <c r="V21" s="1006"/>
      <c r="W21" s="993">
        <f>U21+M21</f>
        <v>2246511</v>
      </c>
      <c r="Y21" s="596" t="str">
        <f>'AUSM FGD'!$P$103</f>
        <v>Marcy Lowther</v>
      </c>
      <c r="Z21" s="596" t="str">
        <f>'AUSM FGD'!$R$103</f>
        <v>512-471-2808</v>
      </c>
      <c r="AA21" s="829" t="str">
        <f>HYPERLINK("Mailto:"&amp;'AUSM FGD'!$U$103,'AUSM FGD'!$U$103)</f>
        <v>mlowther@austin.utexas.edu</v>
      </c>
    </row>
    <row r="22" spans="1:27">
      <c r="A22" s="453">
        <v>510</v>
      </c>
      <c r="B22" s="719"/>
      <c r="C22" s="661"/>
      <c r="D22" s="113" t="s">
        <v>1318</v>
      </c>
      <c r="E22" s="950">
        <f t="shared" si="0"/>
        <v>2018</v>
      </c>
      <c r="F22" s="801">
        <v>203658</v>
      </c>
      <c r="G22" s="1005">
        <f>'AUSM FGD'!$M$23</f>
        <v>2297617</v>
      </c>
      <c r="H22" s="1006">
        <f>'AUSM FGD'!$M$24</f>
        <v>0</v>
      </c>
      <c r="I22" s="1006">
        <f>'AUSM FGD'!$M$25</f>
        <v>0</v>
      </c>
      <c r="J22" s="1006">
        <f>'AUSM FGD'!$M$26</f>
        <v>0</v>
      </c>
      <c r="K22" s="1006">
        <f>'AUSM FGD'!$M$27</f>
        <v>0</v>
      </c>
      <c r="L22" s="1006">
        <f>'AUSM FGD'!$M$28</f>
        <v>-207731</v>
      </c>
      <c r="M22" s="1007">
        <f t="shared" ref="M22" si="7">SUM(G22:L22)</f>
        <v>2089886</v>
      </c>
      <c r="N22" s="1008"/>
      <c r="O22" s="1005">
        <f>'AUSM FGD'!$M$36</f>
        <v>574247</v>
      </c>
      <c r="P22" s="1006">
        <f>'AUSM FGD'!$M$37</f>
        <v>0</v>
      </c>
      <c r="Q22" s="1006">
        <f>'AUSM FGD'!$M$38</f>
        <v>0</v>
      </c>
      <c r="R22" s="1006">
        <f>'AUSM FGD'!$M$39</f>
        <v>0</v>
      </c>
      <c r="S22" s="1006">
        <f>'AUSM FGD'!$M$40</f>
        <v>0</v>
      </c>
      <c r="T22" s="1006">
        <f>'AUSM FGD'!$M$41</f>
        <v>-126472</v>
      </c>
      <c r="U22" s="1007">
        <f t="shared" ref="U22" si="8">SUM(O22:T22)</f>
        <v>447775</v>
      </c>
      <c r="V22" s="1006"/>
      <c r="W22" s="993">
        <f t="shared" si="3"/>
        <v>2537661</v>
      </c>
      <c r="Y22" s="596" t="str">
        <f>'RGVM FGD'!$P$103</f>
        <v>Lilia M. St. Clair</v>
      </c>
      <c r="Z22" s="596" t="str">
        <f>'RGVM FGD'!$R$103</f>
        <v>956-665-7906</v>
      </c>
      <c r="AA22" s="829" t="str">
        <f>HYPERLINK("Mailto:"&amp;'RGVM FGD'!$U$103,'RGVM FGD'!$U$103)</f>
        <v>lilia.stclair@utrgv.edu</v>
      </c>
    </row>
    <row r="23" spans="1:27">
      <c r="B23" s="719"/>
      <c r="C23" s="661"/>
      <c r="D23" s="384"/>
      <c r="E23" s="407"/>
      <c r="F23" s="994"/>
      <c r="G23" s="1005"/>
      <c r="H23" s="1006"/>
      <c r="I23" s="1006"/>
      <c r="J23" s="1006"/>
      <c r="K23" s="1006"/>
      <c r="L23" s="1006"/>
      <c r="M23" s="1007"/>
      <c r="N23" s="1008"/>
      <c r="O23" s="1005"/>
      <c r="P23" s="1006"/>
      <c r="Q23" s="1006"/>
      <c r="R23" s="1006"/>
      <c r="S23" s="1006"/>
      <c r="T23" s="1006"/>
      <c r="U23" s="1007"/>
      <c r="V23" s="1006"/>
      <c r="W23" s="993"/>
      <c r="Y23" s="543"/>
    </row>
    <row r="24" spans="1:27" ht="13.5" thickBot="1">
      <c r="A24" s="599"/>
      <c r="B24" s="599"/>
      <c r="C24" s="599"/>
      <c r="D24" s="600" t="s">
        <v>126</v>
      </c>
      <c r="E24" s="723">
        <f t="shared" ref="E24" si="9">$E$6</f>
        <v>2018</v>
      </c>
      <c r="F24" s="995">
        <v>445566</v>
      </c>
      <c r="G24" s="1009">
        <f t="shared" ref="G24:M24" si="10">SUM(G11:G23)</f>
        <v>265198654</v>
      </c>
      <c r="H24" s="1010">
        <f t="shared" si="10"/>
        <v>0</v>
      </c>
      <c r="I24" s="1010">
        <f t="shared" si="10"/>
        <v>0</v>
      </c>
      <c r="J24" s="1010">
        <f t="shared" si="10"/>
        <v>-4745534</v>
      </c>
      <c r="K24" s="1010">
        <f t="shared" si="10"/>
        <v>-8648</v>
      </c>
      <c r="L24" s="1010">
        <f t="shared" si="10"/>
        <v>-16842236</v>
      </c>
      <c r="M24" s="1011">
        <f t="shared" si="10"/>
        <v>243602236</v>
      </c>
      <c r="N24" s="1012"/>
      <c r="O24" s="1009">
        <f t="shared" ref="O24:U24" si="11">SUM(O11:O23)</f>
        <v>66599472</v>
      </c>
      <c r="P24" s="1010">
        <f t="shared" si="11"/>
        <v>0</v>
      </c>
      <c r="Q24" s="1010">
        <f t="shared" si="11"/>
        <v>0</v>
      </c>
      <c r="R24" s="1010">
        <f t="shared" si="11"/>
        <v>-1806893</v>
      </c>
      <c r="S24" s="1010">
        <f t="shared" si="11"/>
        <v>-2573</v>
      </c>
      <c r="T24" s="1010">
        <f t="shared" si="11"/>
        <v>-2386463</v>
      </c>
      <c r="U24" s="1011">
        <f t="shared" si="11"/>
        <v>62403543</v>
      </c>
      <c r="V24" s="1010"/>
      <c r="W24" s="996">
        <f>SUM(W11:W23)</f>
        <v>306005779</v>
      </c>
    </row>
    <row r="25" spans="1:27" s="102" customFormat="1" ht="14.25" thickTop="1" thickBot="1">
      <c r="A25" s="101"/>
      <c r="B25" s="101"/>
      <c r="C25" s="101"/>
      <c r="E25" s="599">
        <f>COUNTA(E11:E23)</f>
        <v>12</v>
      </c>
    </row>
    <row r="26" spans="1:27" s="102" customFormat="1" ht="13.5" thickTop="1">
      <c r="A26" s="101"/>
      <c r="C26" s="101"/>
    </row>
    <row r="27" spans="1:27" s="102" customFormat="1">
      <c r="A27" s="101"/>
      <c r="C27" s="101"/>
    </row>
    <row r="28" spans="1:27" s="102" customFormat="1">
      <c r="A28" s="101"/>
      <c r="B28" s="101"/>
      <c r="C28" s="101"/>
    </row>
    <row r="29" spans="1:27" s="102" customFormat="1">
      <c r="A29" s="101"/>
      <c r="B29" s="101"/>
      <c r="C29" s="101"/>
    </row>
    <row r="30" spans="1:27" s="102" customFormat="1">
      <c r="A30" s="101"/>
      <c r="B30" s="101"/>
      <c r="C30" s="101"/>
      <c r="D30" s="113"/>
    </row>
    <row r="31" spans="1:27" s="102" customFormat="1">
      <c r="A31" s="101"/>
      <c r="B31" s="101"/>
      <c r="C31" s="101"/>
      <c r="D31" s="113"/>
    </row>
    <row r="32" spans="1:27" s="102" customFormat="1">
      <c r="A32" s="101"/>
      <c r="B32" s="101"/>
      <c r="C32" s="101"/>
      <c r="D32" s="113"/>
    </row>
    <row r="33" spans="1:23" s="102" customFormat="1">
      <c r="A33" s="101"/>
      <c r="B33" s="101"/>
      <c r="C33" s="101"/>
      <c r="D33" s="113"/>
    </row>
    <row r="34" spans="1:23" s="102" customFormat="1">
      <c r="A34" s="101"/>
      <c r="B34" s="101"/>
      <c r="C34" s="101"/>
      <c r="D34" s="113"/>
      <c r="W34" s="103"/>
    </row>
    <row r="35" spans="1:23" s="102" customFormat="1">
      <c r="A35" s="101"/>
      <c r="B35" s="101"/>
      <c r="C35" s="101"/>
      <c r="D35" s="113"/>
      <c r="F35" s="729"/>
      <c r="W35" s="136"/>
    </row>
    <row r="36" spans="1:23" s="102" customFormat="1">
      <c r="A36" s="101"/>
      <c r="B36" s="101"/>
      <c r="C36" s="101"/>
      <c r="D36" s="113"/>
      <c r="W36" s="136"/>
    </row>
    <row r="37" spans="1:23" s="102" customFormat="1">
      <c r="A37" s="101"/>
      <c r="B37" s="101"/>
      <c r="C37" s="101"/>
      <c r="D37" s="113"/>
      <c r="W37" s="136"/>
    </row>
    <row r="38" spans="1:23" s="102" customFormat="1">
      <c r="A38" s="101"/>
      <c r="B38" s="101"/>
      <c r="C38" s="101"/>
      <c r="D38" s="206"/>
      <c r="F38" s="120"/>
      <c r="W38" s="136"/>
    </row>
    <row r="39" spans="1:23" s="102" customFormat="1">
      <c r="A39" s="101"/>
      <c r="B39" s="101"/>
      <c r="C39" s="101"/>
      <c r="D39" s="206" t="s">
        <v>1696</v>
      </c>
    </row>
    <row r="40" spans="1:23" s="102" customFormat="1">
      <c r="A40" s="101"/>
      <c r="B40" s="101"/>
      <c r="C40" s="101"/>
      <c r="D40" s="113"/>
    </row>
    <row r="41" spans="1:23" s="102" customFormat="1">
      <c r="A41" s="101"/>
      <c r="B41" s="101"/>
      <c r="C41" s="101"/>
      <c r="D41" s="113"/>
      <c r="M41" s="617" t="str">
        <f>IF(SUM(M11:M23)&lt;&gt;'Smmy FGD'!$M$245,"Error","Balanced")</f>
        <v>Balanced</v>
      </c>
      <c r="U41" s="617" t="str">
        <f>IF(SUM(U11:U23)&lt;&gt;'Smmy FGD'!$M$402,"Error","Balanced")</f>
        <v>Balanced</v>
      </c>
      <c r="V41" s="617"/>
      <c r="W41" s="617" t="str">
        <f>IF(SUM(W11:W23)&lt;&gt;'Smmy FGD'!$M$416,"Error","Balanced")</f>
        <v>Balanced</v>
      </c>
    </row>
    <row r="42" spans="1:23" s="102" customFormat="1">
      <c r="A42" s="101"/>
      <c r="B42" s="101"/>
      <c r="C42" s="101"/>
    </row>
    <row r="43" spans="1:23" s="102" customFormat="1">
      <c r="A43" s="101"/>
      <c r="B43" s="101"/>
      <c r="C43" s="101"/>
    </row>
    <row r="44" spans="1:23" s="102" customFormat="1">
      <c r="A44" s="101"/>
      <c r="B44" s="101"/>
      <c r="C44" s="101"/>
    </row>
    <row r="45" spans="1:23" s="102" customFormat="1">
      <c r="A45" s="101"/>
      <c r="B45" s="101"/>
      <c r="C45" s="101"/>
    </row>
    <row r="46" spans="1:23" s="102" customFormat="1">
      <c r="A46" s="101"/>
      <c r="B46" s="101"/>
      <c r="C46" s="101"/>
    </row>
    <row r="47" spans="1:23" s="102" customFormat="1">
      <c r="A47" s="101"/>
      <c r="B47" s="101"/>
      <c r="C47" s="101"/>
    </row>
    <row r="48" spans="1:23" s="102" customFormat="1">
      <c r="A48" s="101"/>
      <c r="B48" s="101"/>
      <c r="C48" s="101"/>
    </row>
    <row r="49" spans="1:3" s="102" customFormat="1">
      <c r="A49" s="101"/>
      <c r="B49" s="101"/>
      <c r="C49" s="101"/>
    </row>
    <row r="50" spans="1:3" s="102" customFormat="1">
      <c r="A50" s="101"/>
      <c r="B50" s="101"/>
      <c r="C50" s="101"/>
    </row>
    <row r="51" spans="1:3" s="102" customFormat="1">
      <c r="A51" s="101"/>
      <c r="B51" s="101"/>
      <c r="C51" s="101"/>
    </row>
    <row r="52" spans="1:3" s="102" customFormat="1">
      <c r="A52" s="101"/>
      <c r="B52" s="101"/>
      <c r="C52" s="101"/>
    </row>
    <row r="53" spans="1:3" s="102" customFormat="1">
      <c r="A53" s="101"/>
      <c r="B53" s="101"/>
      <c r="C53" s="101"/>
    </row>
    <row r="54" spans="1:3" s="102" customFormat="1">
      <c r="A54" s="101"/>
      <c r="B54" s="101"/>
      <c r="C54" s="101"/>
    </row>
    <row r="55" spans="1:3" s="102" customFormat="1">
      <c r="A55" s="101"/>
      <c r="B55" s="101"/>
      <c r="C55" s="101"/>
    </row>
    <row r="56" spans="1:3" s="102" customFormat="1">
      <c r="A56" s="101"/>
      <c r="B56" s="101"/>
      <c r="C56" s="101"/>
    </row>
    <row r="57" spans="1:3" s="102" customFormat="1">
      <c r="A57" s="101"/>
      <c r="B57" s="101"/>
      <c r="C57" s="101"/>
    </row>
    <row r="58" spans="1:3" s="102" customFormat="1">
      <c r="A58" s="101"/>
      <c r="B58" s="101"/>
      <c r="C58" s="101"/>
    </row>
    <row r="59" spans="1:3" s="102" customFormat="1">
      <c r="A59" s="101"/>
      <c r="B59" s="101"/>
      <c r="C59" s="101"/>
    </row>
    <row r="60" spans="1:3" s="102" customFormat="1">
      <c r="A60" s="101"/>
      <c r="B60" s="101"/>
      <c r="C60" s="101"/>
    </row>
    <row r="61" spans="1:3" s="102" customFormat="1">
      <c r="A61" s="101"/>
      <c r="B61" s="101"/>
      <c r="C61" s="101"/>
    </row>
    <row r="62" spans="1:3" s="102" customFormat="1">
      <c r="A62" s="101"/>
      <c r="B62" s="101"/>
      <c r="C62" s="101"/>
    </row>
    <row r="63" spans="1:3" s="102" customFormat="1">
      <c r="A63" s="101"/>
      <c r="B63" s="101"/>
      <c r="C63" s="101"/>
    </row>
    <row r="64" spans="1:3"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7:23">
      <c r="G769" s="102"/>
      <c r="H769" s="102"/>
      <c r="I769" s="102"/>
      <c r="J769" s="102"/>
      <c r="K769" s="102"/>
      <c r="L769" s="102"/>
      <c r="M769" s="102"/>
      <c r="N769" s="102"/>
      <c r="O769" s="102"/>
      <c r="P769" s="102"/>
      <c r="Q769" s="102"/>
      <c r="R769" s="102"/>
      <c r="S769" s="102"/>
      <c r="T769" s="102"/>
      <c r="U769" s="102"/>
      <c r="V769" s="102"/>
      <c r="W769" s="102"/>
    </row>
    <row r="770" spans="7:23">
      <c r="G770" s="102"/>
      <c r="H770" s="102"/>
      <c r="I770" s="102"/>
      <c r="J770" s="102"/>
      <c r="K770" s="102"/>
      <c r="L770" s="102"/>
      <c r="M770" s="102"/>
      <c r="N770" s="102"/>
      <c r="O770" s="102"/>
      <c r="P770" s="102"/>
      <c r="Q770" s="102"/>
      <c r="R770" s="102"/>
      <c r="S770" s="102"/>
      <c r="T770" s="102"/>
      <c r="U770" s="102"/>
      <c r="V770" s="102"/>
      <c r="W770" s="102"/>
    </row>
  </sheetData>
  <mergeCells count="4">
    <mergeCell ref="A5:C5"/>
    <mergeCell ref="B8:C8"/>
    <mergeCell ref="Y7:AA7"/>
    <mergeCell ref="Y8:AA8"/>
  </mergeCells>
  <hyperlinks>
    <hyperlink ref="J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5"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V781"/>
  <sheetViews>
    <sheetView showGridLines="0" zoomScale="85" zoomScaleNormal="85" workbookViewId="0">
      <pane xSplit="6" ySplit="10" topLeftCell="G11" activePane="bottomRight" state="frozen"/>
      <selection activeCell="C36" sqref="C36"/>
      <selection pane="topRight" activeCell="C36" sqref="C36"/>
      <selection pane="bottomLeft" activeCell="C36" sqref="C36"/>
      <selection pane="bottomRight" activeCell="L1" sqref="L1"/>
    </sheetView>
  </sheetViews>
  <sheetFormatPr defaultRowHeight="12.75" outlineLevelRow="1"/>
  <cols>
    <col min="1" max="1" width="7.28515625" style="453" customWidth="1"/>
    <col min="2" max="2" width="5" style="453" customWidth="1"/>
    <col min="3" max="3" width="9.42578125" style="453" customWidth="1"/>
    <col min="4" max="4" width="30.7109375" style="53" customWidth="1"/>
    <col min="5" max="6" width="10.28515625" style="53" customWidth="1"/>
    <col min="7" max="9" width="15.5703125" style="604" customWidth="1"/>
    <col min="10" max="10" width="17.28515625" style="604" customWidth="1"/>
    <col min="11" max="11" width="17.85546875" style="604" customWidth="1"/>
    <col min="12" max="14" width="16.42578125" style="604" customWidth="1"/>
    <col min="15" max="15" width="18.5703125" style="604" customWidth="1"/>
    <col min="16" max="16" width="16.140625" style="53" customWidth="1"/>
    <col min="17" max="17" width="14" style="53" customWidth="1"/>
    <col min="18" max="18" width="7.7109375" style="53" customWidth="1"/>
    <col min="19" max="19" width="4" style="53" customWidth="1"/>
    <col min="20" max="20" width="19.42578125" style="53" customWidth="1"/>
    <col min="21" max="21" width="16.5703125" style="53" customWidth="1"/>
    <col min="22" max="22" width="26.85546875" style="53" customWidth="1"/>
    <col min="23" max="16384" width="9.140625" style="53"/>
  </cols>
  <sheetData>
    <row r="1" spans="1:22" ht="13.5" thickBot="1">
      <c r="G1" s="103" t="s">
        <v>1159</v>
      </c>
      <c r="H1" s="103"/>
      <c r="I1" s="102"/>
      <c r="J1" s="102"/>
      <c r="K1" s="102"/>
      <c r="L1" s="703" t="s">
        <v>1123</v>
      </c>
      <c r="M1" s="102"/>
      <c r="N1" s="102"/>
      <c r="O1" s="102"/>
    </row>
    <row r="2" spans="1:22">
      <c r="G2" s="103" t="s">
        <v>1506</v>
      </c>
      <c r="H2" s="103"/>
      <c r="I2" s="102"/>
      <c r="J2" s="102"/>
      <c r="K2" s="102"/>
      <c r="L2" s="102"/>
      <c r="M2" s="102"/>
      <c r="N2" s="102"/>
      <c r="O2" s="102"/>
    </row>
    <row r="3" spans="1:22">
      <c r="A3" s="259" t="s">
        <v>1391</v>
      </c>
      <c r="G3" s="103" t="s">
        <v>1695</v>
      </c>
      <c r="H3" s="103"/>
      <c r="I3" s="102"/>
      <c r="J3" s="102"/>
      <c r="K3" s="102"/>
      <c r="L3" s="102"/>
      <c r="M3" s="102"/>
      <c r="N3" s="102"/>
      <c r="O3" s="102"/>
    </row>
    <row r="4" spans="1:22">
      <c r="G4" s="102"/>
      <c r="H4" s="102"/>
      <c r="I4" s="102"/>
      <c r="J4" s="102"/>
      <c r="K4" s="102"/>
      <c r="L4" s="102"/>
      <c r="M4" s="102"/>
      <c r="N4" s="102"/>
      <c r="O4" s="102"/>
    </row>
    <row r="5" spans="1:22">
      <c r="A5" s="1217" t="s">
        <v>1365</v>
      </c>
      <c r="B5" s="1218"/>
      <c r="C5" s="1219"/>
      <c r="F5" s="453" t="s">
        <v>1124</v>
      </c>
      <c r="G5" s="102"/>
      <c r="H5" s="102"/>
      <c r="I5" s="102"/>
      <c r="J5" s="102"/>
      <c r="K5" s="102"/>
      <c r="L5" s="102"/>
      <c r="M5" s="102"/>
      <c r="N5" s="102"/>
      <c r="O5" s="102"/>
    </row>
    <row r="6" spans="1:22">
      <c r="E6" s="453">
        <v>2018</v>
      </c>
      <c r="F6" s="453" t="s">
        <v>1125</v>
      </c>
      <c r="G6" s="102"/>
      <c r="H6" s="102"/>
      <c r="I6" s="102"/>
      <c r="J6" s="102"/>
      <c r="K6" s="102"/>
      <c r="L6" s="102"/>
      <c r="M6" s="102"/>
      <c r="N6" s="102"/>
      <c r="O6" s="102"/>
    </row>
    <row r="7" spans="1:22">
      <c r="F7" s="453" t="s">
        <v>1126</v>
      </c>
      <c r="G7" s="102"/>
      <c r="H7" s="102"/>
      <c r="I7" s="102"/>
      <c r="J7" s="102"/>
      <c r="K7" s="102"/>
      <c r="L7" s="102"/>
      <c r="M7" s="102"/>
      <c r="N7" s="102"/>
      <c r="O7" s="102"/>
    </row>
    <row r="8" spans="1:22" s="584" customFormat="1" ht="48.75" customHeight="1" thickBot="1">
      <c r="A8" s="1029" t="s">
        <v>1035</v>
      </c>
      <c r="B8" s="1220" t="s">
        <v>1127</v>
      </c>
      <c r="C8" s="1220"/>
      <c r="D8" s="1028" t="s">
        <v>224</v>
      </c>
      <c r="E8" s="1028" t="s">
        <v>1128</v>
      </c>
      <c r="F8" s="1028" t="s">
        <v>107</v>
      </c>
      <c r="G8" s="704" t="s">
        <v>197</v>
      </c>
      <c r="H8" s="704" t="s">
        <v>1167</v>
      </c>
      <c r="I8" s="704" t="s">
        <v>1135</v>
      </c>
      <c r="J8" s="704" t="s">
        <v>1136</v>
      </c>
      <c r="K8" s="704" t="s">
        <v>1</v>
      </c>
      <c r="L8" s="704" t="s">
        <v>1015</v>
      </c>
      <c r="M8" s="1027" t="s">
        <v>1366</v>
      </c>
      <c r="N8" s="1027" t="s">
        <v>1366</v>
      </c>
      <c r="O8" s="704" t="s">
        <v>88</v>
      </c>
      <c r="P8" s="1027" t="s">
        <v>1366</v>
      </c>
      <c r="Q8" s="1027" t="s">
        <v>1171</v>
      </c>
      <c r="R8" s="1027"/>
      <c r="S8" s="705"/>
      <c r="T8" s="53"/>
      <c r="U8" s="53"/>
      <c r="V8" s="53"/>
    </row>
    <row r="9" spans="1:22" s="712" customFormat="1" ht="18.75" customHeight="1">
      <c r="A9" s="706" t="s">
        <v>1367</v>
      </c>
      <c r="B9" s="707"/>
      <c r="C9" s="707"/>
      <c r="D9" s="708"/>
      <c r="E9" s="707" t="s">
        <v>1129</v>
      </c>
      <c r="F9" s="707" t="s">
        <v>1130</v>
      </c>
      <c r="G9" s="709" t="s">
        <v>1368</v>
      </c>
      <c r="H9" s="710" t="s">
        <v>1369</v>
      </c>
      <c r="I9" s="710" t="s">
        <v>1370</v>
      </c>
      <c r="J9" s="710" t="s">
        <v>1371</v>
      </c>
      <c r="K9" s="710" t="s">
        <v>1372</v>
      </c>
      <c r="L9" s="710" t="s">
        <v>1010</v>
      </c>
      <c r="M9" s="710" t="s">
        <v>1373</v>
      </c>
      <c r="N9" s="710" t="s">
        <v>1374</v>
      </c>
      <c r="O9" s="710" t="s">
        <v>1375</v>
      </c>
      <c r="P9" s="710" t="s">
        <v>173</v>
      </c>
      <c r="Q9" s="1031" t="s">
        <v>1376</v>
      </c>
      <c r="R9" s="711"/>
      <c r="T9" s="1030"/>
      <c r="U9" s="1030"/>
      <c r="V9" s="1030"/>
    </row>
    <row r="10" spans="1:22" ht="18" customHeight="1">
      <c r="A10" s="56" t="s">
        <v>1377</v>
      </c>
      <c r="D10" s="713"/>
      <c r="E10" s="714" t="s">
        <v>1131</v>
      </c>
      <c r="F10" s="453" t="s">
        <v>1132</v>
      </c>
      <c r="G10" s="783" t="s">
        <v>1165</v>
      </c>
      <c r="H10" s="1032" t="s">
        <v>1166</v>
      </c>
      <c r="I10" s="715" t="s">
        <v>1137</v>
      </c>
      <c r="J10" s="715" t="s">
        <v>1160</v>
      </c>
      <c r="K10" s="715" t="s">
        <v>1138</v>
      </c>
      <c r="L10" s="715" t="s">
        <v>1139</v>
      </c>
      <c r="M10" s="715" t="s">
        <v>1378</v>
      </c>
      <c r="N10" s="715" t="s">
        <v>1379</v>
      </c>
      <c r="O10" s="715" t="s">
        <v>1161</v>
      </c>
      <c r="P10" s="715" t="s">
        <v>1380</v>
      </c>
      <c r="Q10" s="716" t="s">
        <v>1164</v>
      </c>
      <c r="R10" s="717"/>
      <c r="T10" s="718"/>
      <c r="U10" s="718"/>
      <c r="V10" s="718"/>
    </row>
    <row r="11" spans="1:22" ht="14.25" customHeight="1">
      <c r="A11" s="453">
        <v>390</v>
      </c>
      <c r="C11" s="801"/>
      <c r="D11" s="113" t="s">
        <v>110</v>
      </c>
      <c r="E11" s="407">
        <f t="shared" ref="E11:E22" si="0">$E$6</f>
        <v>2018</v>
      </c>
      <c r="F11" s="801">
        <v>30</v>
      </c>
      <c r="G11" s="1112">
        <f>'SWM Sum'!$C$6</f>
        <v>2166.6799999999998</v>
      </c>
      <c r="H11" s="1033">
        <f>'SWM Sum'!$I$8</f>
        <v>2228.16</v>
      </c>
      <c r="I11" s="720">
        <f>'SWM Sum'!$G$41</f>
        <v>1123709829</v>
      </c>
      <c r="J11" s="720">
        <f>'SWM Sum'!$F$20</f>
        <v>25522759</v>
      </c>
      <c r="K11" s="720">
        <f>'SWM Sum'!$G$11</f>
        <v>233159298</v>
      </c>
      <c r="L11" s="720">
        <f>'SWM Sum'!$F$23</f>
        <v>201008263</v>
      </c>
      <c r="M11" s="789"/>
      <c r="N11" s="789"/>
      <c r="O11" s="720">
        <f>'SWM Sum'!$F$38</f>
        <v>664019509</v>
      </c>
      <c r="P11" s="789"/>
      <c r="Q11" s="1034">
        <f>'SWM Sum'!$G$14</f>
        <v>0</v>
      </c>
      <c r="R11" s="717"/>
      <c r="T11" s="718"/>
      <c r="U11" s="718"/>
      <c r="V11" s="718"/>
    </row>
    <row r="12" spans="1:22" ht="14.25" customHeight="1">
      <c r="A12" s="376">
        <v>400</v>
      </c>
      <c r="B12" s="961"/>
      <c r="C12" s="857"/>
      <c r="D12" s="206" t="s">
        <v>125</v>
      </c>
      <c r="E12" s="950">
        <f t="shared" si="0"/>
        <v>2018</v>
      </c>
      <c r="F12" s="857">
        <v>104952</v>
      </c>
      <c r="G12" s="1112">
        <f>'MBG Sum'!$C$6</f>
        <v>3693.9200000000005</v>
      </c>
      <c r="H12" s="1033">
        <f>'MBG Sum'!$I$8</f>
        <v>1279</v>
      </c>
      <c r="I12" s="720">
        <f>'MBG Sum'!$G$41</f>
        <v>814795307</v>
      </c>
      <c r="J12" s="720">
        <f>'MBG Sum'!$F$20</f>
        <v>40834540</v>
      </c>
      <c r="K12" s="720">
        <f>'MBG Sum'!$G$11</f>
        <v>380383100</v>
      </c>
      <c r="L12" s="720">
        <f>'MBG Sum'!$F$23</f>
        <v>129743832</v>
      </c>
      <c r="M12" s="789"/>
      <c r="N12" s="789"/>
      <c r="O12" s="720">
        <f>'MBG Sum'!$F$38</f>
        <v>263833835</v>
      </c>
      <c r="P12" s="789"/>
      <c r="Q12" s="1034">
        <f>'MBG Sum'!$G$14</f>
        <v>0</v>
      </c>
      <c r="R12" s="962"/>
      <c r="S12" s="57"/>
      <c r="T12" s="954"/>
      <c r="U12" s="954"/>
      <c r="V12" s="954"/>
    </row>
    <row r="13" spans="1:22">
      <c r="A13" s="453">
        <v>410</v>
      </c>
      <c r="B13" s="719"/>
      <c r="C13" s="801"/>
      <c r="D13" s="113" t="s">
        <v>122</v>
      </c>
      <c r="E13" s="407">
        <f t="shared" si="0"/>
        <v>2018</v>
      </c>
      <c r="F13" s="801">
        <v>11618</v>
      </c>
      <c r="G13" s="1112">
        <f>'HSH Sum'!$C$6</f>
        <v>4887.8900000000003</v>
      </c>
      <c r="H13" s="1033">
        <f>'HSH Sum'!$I$8</f>
        <v>1926.48</v>
      </c>
      <c r="I13" s="720">
        <f>'HSH Sum'!$G$41</f>
        <v>1214818393</v>
      </c>
      <c r="J13" s="720">
        <f>'HSH Sum'!$F$20</f>
        <v>54210396</v>
      </c>
      <c r="K13" s="720">
        <f>'HSH Sum'!$G$11</f>
        <v>233613776</v>
      </c>
      <c r="L13" s="720">
        <f>'HSH Sum'!$F$23</f>
        <v>156372343</v>
      </c>
      <c r="M13" s="789"/>
      <c r="N13" s="789"/>
      <c r="O13" s="720">
        <f>'HSH Sum'!$F$38</f>
        <v>770621878</v>
      </c>
      <c r="P13" s="789"/>
      <c r="Q13" s="1034">
        <f>'HSH Sum'!$G$14</f>
        <v>0</v>
      </c>
      <c r="R13" s="722"/>
      <c r="S13" s="57"/>
      <c r="T13" s="596"/>
      <c r="U13" s="596"/>
      <c r="V13" s="596"/>
    </row>
    <row r="14" spans="1:22">
      <c r="A14" s="453">
        <v>420</v>
      </c>
      <c r="B14" s="719"/>
      <c r="C14" s="801"/>
      <c r="D14" s="113" t="s">
        <v>112</v>
      </c>
      <c r="E14" s="407">
        <f t="shared" si="0"/>
        <v>2018</v>
      </c>
      <c r="F14" s="801">
        <v>40</v>
      </c>
      <c r="G14" s="1112">
        <f>'HSSA Sum'!$C$6</f>
        <v>3827.8999999999996</v>
      </c>
      <c r="H14" s="1033">
        <f>'HSSA Sum'!$I$8</f>
        <v>1342.99</v>
      </c>
      <c r="I14" s="720">
        <f>'HSSA Sum'!$G$41</f>
        <v>646180471</v>
      </c>
      <c r="J14" s="720">
        <f>'HSSA Sum'!$F$20</f>
        <v>43132587</v>
      </c>
      <c r="K14" s="720">
        <f>'HSSA Sum'!$G$11</f>
        <v>184176527</v>
      </c>
      <c r="L14" s="720">
        <f>'HSSA Sum'!$F$23</f>
        <v>103703491</v>
      </c>
      <c r="M14" s="789"/>
      <c r="N14" s="789"/>
      <c r="O14" s="720">
        <f>'HSSA Sum'!$F$38</f>
        <v>315167866</v>
      </c>
      <c r="P14" s="789"/>
      <c r="Q14" s="1034">
        <f>'HSSA Sum'!$G$14</f>
        <v>0</v>
      </c>
      <c r="R14" s="721"/>
      <c r="T14" s="596"/>
      <c r="U14" s="596"/>
      <c r="V14" s="596"/>
    </row>
    <row r="15" spans="1:22">
      <c r="A15" s="453">
        <v>430</v>
      </c>
      <c r="B15" s="719"/>
      <c r="C15" s="801"/>
      <c r="D15" s="113" t="s">
        <v>124</v>
      </c>
      <c r="E15" s="407">
        <f t="shared" si="0"/>
        <v>2018</v>
      </c>
      <c r="F15" s="801">
        <v>25554</v>
      </c>
      <c r="G15" s="1112">
        <f>'MDA Sum'!$C$6</f>
        <v>378.18</v>
      </c>
      <c r="H15" s="1033">
        <f>'MDA Sum'!$I$8</f>
        <v>1790.7</v>
      </c>
      <c r="I15" s="720">
        <f>'MDA Sum'!$G$41</f>
        <v>1036443894</v>
      </c>
      <c r="J15" s="720">
        <f>'MDA Sum'!$F$20</f>
        <v>1113485</v>
      </c>
      <c r="K15" s="720">
        <f>'MDA Sum'!$G$11</f>
        <v>258497280</v>
      </c>
      <c r="L15" s="720">
        <f>'MDA Sum'!$F$23</f>
        <v>175307623</v>
      </c>
      <c r="M15" s="789"/>
      <c r="N15" s="789"/>
      <c r="O15" s="720">
        <f>'MDA Sum'!$F$38</f>
        <v>601525506</v>
      </c>
      <c r="P15" s="789"/>
      <c r="Q15" s="1034">
        <f>'MDA Sum'!$G$14</f>
        <v>0</v>
      </c>
      <c r="R15" s="722"/>
      <c r="T15" s="596"/>
      <c r="U15" s="596"/>
      <c r="V15" s="596"/>
    </row>
    <row r="16" spans="1:22">
      <c r="A16" s="453">
        <v>440</v>
      </c>
      <c r="B16" s="719"/>
      <c r="C16" s="801"/>
      <c r="D16" s="113" t="s">
        <v>1300</v>
      </c>
      <c r="E16" s="407">
        <f t="shared" si="0"/>
        <v>2018</v>
      </c>
      <c r="F16" s="801">
        <v>42439</v>
      </c>
      <c r="G16" s="1112">
        <f>'THC Sum'!$C$6</f>
        <v>30.130000000000003</v>
      </c>
      <c r="H16" s="1033">
        <f>'THC Sum'!$I$8</f>
        <v>131.38999999999999</v>
      </c>
      <c r="I16" s="720">
        <f>'THC Sum'!$G$41</f>
        <v>117601702</v>
      </c>
      <c r="J16" s="720">
        <f>'THC Sum'!$F$20</f>
        <v>182967</v>
      </c>
      <c r="K16" s="720">
        <f>'THC Sum'!$G$11</f>
        <v>64528570</v>
      </c>
      <c r="L16" s="720">
        <f>'THC Sum'!$F$23</f>
        <v>10226513</v>
      </c>
      <c r="M16" s="789"/>
      <c r="N16" s="789"/>
      <c r="O16" s="720">
        <f>'THC Sum'!$F$38</f>
        <v>42663652</v>
      </c>
      <c r="P16" s="789"/>
      <c r="Q16" s="1034">
        <f>'THC Sum'!$G$14</f>
        <v>0</v>
      </c>
      <c r="R16" s="722"/>
      <c r="T16" s="596"/>
      <c r="U16" s="596"/>
      <c r="V16" s="596"/>
    </row>
    <row r="17" spans="1:22">
      <c r="A17" s="453">
        <v>450</v>
      </c>
      <c r="B17" s="719"/>
      <c r="C17" s="801"/>
      <c r="D17" s="113" t="s">
        <v>114</v>
      </c>
      <c r="E17" s="407">
        <f t="shared" si="0"/>
        <v>2018</v>
      </c>
      <c r="F17" s="801">
        <v>89</v>
      </c>
      <c r="G17" s="1112">
        <f>'TAMHSC Sum'!$C$6</f>
        <v>3113.57</v>
      </c>
      <c r="H17" s="1033">
        <f>'TAMHSC Sum'!$I$8</f>
        <v>613.38</v>
      </c>
      <c r="I17" s="720">
        <f>'TAMHSC Sum'!$G$41</f>
        <v>323462773</v>
      </c>
      <c r="J17" s="720">
        <f>'TAMHSC Sum'!$F$20</f>
        <v>37044848</v>
      </c>
      <c r="K17" s="720">
        <f>'TAMHSC Sum'!$G$11</f>
        <v>167393109</v>
      </c>
      <c r="L17" s="720">
        <f>'TAMHSC Sum'!$F$23</f>
        <v>42170209</v>
      </c>
      <c r="M17" s="789"/>
      <c r="N17" s="789"/>
      <c r="O17" s="720">
        <f>'TAMHSC Sum'!$F$38</f>
        <v>76854607</v>
      </c>
      <c r="P17" s="789"/>
      <c r="Q17" s="1034">
        <f>'TAMHSC Sum'!$G$14</f>
        <v>18599332</v>
      </c>
      <c r="R17" s="721"/>
      <c r="T17" s="596"/>
      <c r="U17" s="596"/>
      <c r="V17" s="596"/>
    </row>
    <row r="18" spans="1:22">
      <c r="A18" s="453">
        <v>460</v>
      </c>
      <c r="B18" s="719"/>
      <c r="C18" s="801"/>
      <c r="D18" s="113" t="s">
        <v>116</v>
      </c>
      <c r="E18" s="407">
        <f t="shared" si="0"/>
        <v>2018</v>
      </c>
      <c r="F18" s="801">
        <v>130</v>
      </c>
      <c r="G18" s="1112">
        <f>'UNTHSC Sum'!$C$6</f>
        <v>2836.2200000000003</v>
      </c>
      <c r="H18" s="1033">
        <f>'UNTHSC Sum'!$I$8</f>
        <v>417.99</v>
      </c>
      <c r="I18" s="720">
        <f>'UNTHSC Sum'!$G$41</f>
        <v>251033307</v>
      </c>
      <c r="J18" s="720">
        <f>'UNTHSC Sum'!$F$20</f>
        <v>29810882</v>
      </c>
      <c r="K18" s="720">
        <f>'UNTHSC Sum'!$G$11</f>
        <v>105907393</v>
      </c>
      <c r="L18" s="720">
        <f>'UNTHSC Sum'!$F$23</f>
        <v>37000670</v>
      </c>
      <c r="M18" s="789"/>
      <c r="N18" s="789"/>
      <c r="O18" s="720">
        <f>'UNTHSC Sum'!$F$38</f>
        <v>78314362</v>
      </c>
      <c r="P18" s="789"/>
      <c r="Q18" s="1034">
        <f>'UNTHSC Sum'!$G$14</f>
        <v>17091856</v>
      </c>
      <c r="R18" s="722"/>
      <c r="T18" s="596"/>
      <c r="U18" s="596"/>
      <c r="V18" s="596"/>
    </row>
    <row r="19" spans="1:22">
      <c r="A19" s="453">
        <v>470</v>
      </c>
      <c r="B19" s="719"/>
      <c r="C19" s="801"/>
      <c r="D19" s="113" t="s">
        <v>120</v>
      </c>
      <c r="E19" s="407">
        <f t="shared" si="0"/>
        <v>2018</v>
      </c>
      <c r="F19" s="801">
        <v>412</v>
      </c>
      <c r="G19" s="1112">
        <f>'TTUHSC Sum'!$C$6</f>
        <v>5735.93</v>
      </c>
      <c r="H19" s="1033">
        <f>'TTUHSC Sum'!$I$8</f>
        <v>762.67</v>
      </c>
      <c r="I19" s="720">
        <f>'TTUHSC Sum'!$G$41</f>
        <v>442945110</v>
      </c>
      <c r="J19" s="720">
        <f>'TTUHSC Sum'!$F$20</f>
        <v>51990811</v>
      </c>
      <c r="K19" s="720">
        <f>'TTUHSC Sum'!$G$11</f>
        <v>178247608</v>
      </c>
      <c r="L19" s="720">
        <f>'TTUHSC Sum'!$F$23</f>
        <v>19599396</v>
      </c>
      <c r="M19" s="789"/>
      <c r="N19" s="789"/>
      <c r="O19" s="720">
        <f>'TTUHSC Sum'!$F$38</f>
        <v>193107295</v>
      </c>
      <c r="P19" s="789"/>
      <c r="Q19" s="1034">
        <f>'TTUHSC Sum'!$G$14</f>
        <v>23372396</v>
      </c>
      <c r="R19" s="721"/>
      <c r="T19" s="596"/>
      <c r="U19" s="596"/>
      <c r="V19" s="596"/>
    </row>
    <row r="20" spans="1:22" s="57" customFormat="1">
      <c r="A20" s="453">
        <v>480</v>
      </c>
      <c r="B20" s="719"/>
      <c r="C20" s="801"/>
      <c r="D20" s="206" t="s">
        <v>1324</v>
      </c>
      <c r="E20" s="950">
        <f t="shared" si="0"/>
        <v>2018</v>
      </c>
      <c r="F20" s="801">
        <v>862</v>
      </c>
      <c r="G20" s="1112">
        <f>'TTUHSCEP Sum'!$C$6</f>
        <v>737.31000000000006</v>
      </c>
      <c r="H20" s="1033">
        <f>'TTUHSCEP Sum'!$I$8</f>
        <v>280.64</v>
      </c>
      <c r="I20" s="720">
        <f>'TTUHSCEP Sum'!$G$41</f>
        <v>198487814</v>
      </c>
      <c r="J20" s="720">
        <f>'TTUHSCEP Sum'!$F$20</f>
        <v>8991570</v>
      </c>
      <c r="K20" s="720">
        <f>'TTUHSCEP Sum'!$G$11</f>
        <v>81774299</v>
      </c>
      <c r="L20" s="720">
        <f>'TTUHSCEP Sum'!$F$23</f>
        <v>3784539</v>
      </c>
      <c r="M20" s="789"/>
      <c r="N20" s="789"/>
      <c r="O20" s="720">
        <f>'TTUHSCEP Sum'!$F$38</f>
        <v>103937406</v>
      </c>
      <c r="P20" s="789"/>
      <c r="Q20" s="1034">
        <f>'TTUHSCEP Sum'!$G$14</f>
        <v>6234075</v>
      </c>
      <c r="R20" s="722"/>
      <c r="S20" s="53"/>
      <c r="T20" s="596"/>
      <c r="U20" s="596"/>
      <c r="V20" s="596"/>
    </row>
    <row r="21" spans="1:22">
      <c r="A21" s="453">
        <v>500</v>
      </c>
      <c r="B21" s="719"/>
      <c r="C21" s="801"/>
      <c r="D21" s="113" t="s">
        <v>1403</v>
      </c>
      <c r="E21" s="950">
        <f t="shared" si="0"/>
        <v>2018</v>
      </c>
      <c r="F21" s="801">
        <v>203599</v>
      </c>
      <c r="G21" s="1112">
        <f>'RGVM Sum'!$C$6</f>
        <v>101</v>
      </c>
      <c r="H21" s="1033">
        <f>'RGVM Sum'!$I$8</f>
        <v>86.15</v>
      </c>
      <c r="I21" s="720">
        <f>'RGVM Sum'!$G$41</f>
        <v>81024532</v>
      </c>
      <c r="J21" s="720">
        <f>'RGVM Sum'!$F$20</f>
        <v>2146974</v>
      </c>
      <c r="K21" s="720">
        <f>'RGVM Sum'!$G$11</f>
        <v>29328746</v>
      </c>
      <c r="L21" s="720">
        <f>'RGVM Sum'!$F$23</f>
        <v>4297754</v>
      </c>
      <c r="M21" s="789"/>
      <c r="N21" s="789"/>
      <c r="O21" s="720">
        <f>'RGVM Sum'!$F$38</f>
        <v>45251058</v>
      </c>
      <c r="P21" s="789"/>
      <c r="Q21" s="1034">
        <f>'RGVM Sum'!$G$14</f>
        <v>0</v>
      </c>
      <c r="R21" s="722"/>
      <c r="T21" s="596"/>
      <c r="U21" s="596"/>
      <c r="V21" s="596"/>
    </row>
    <row r="22" spans="1:22">
      <c r="A22" s="453">
        <v>510</v>
      </c>
      <c r="B22" s="719"/>
      <c r="C22" s="801"/>
      <c r="D22" s="113" t="s">
        <v>1404</v>
      </c>
      <c r="E22" s="950">
        <f t="shared" si="0"/>
        <v>2018</v>
      </c>
      <c r="F22" s="801">
        <v>203658</v>
      </c>
      <c r="G22" s="1113">
        <f>'AUSM Sum'!$C$6</f>
        <v>100</v>
      </c>
      <c r="H22" s="1033">
        <f>'AUSM Sum'!$I$8</f>
        <v>88.85</v>
      </c>
      <c r="I22" s="720">
        <f>'AUSM Sum'!$G$41</f>
        <v>90126990</v>
      </c>
      <c r="J22" s="720">
        <f>'AUSM Sum'!$F$20</f>
        <v>2537661</v>
      </c>
      <c r="K22" s="720">
        <f>'AUSM Sum'!$G$11</f>
        <v>8758606</v>
      </c>
      <c r="L22" s="720">
        <f>'AUSM Sum'!$F$23</f>
        <v>9489928</v>
      </c>
      <c r="M22" s="789"/>
      <c r="N22" s="789"/>
      <c r="O22" s="720">
        <f>'AUSM Sum'!$F$38</f>
        <v>69340795</v>
      </c>
      <c r="P22" s="789"/>
      <c r="Q22" s="1034">
        <f>'AUSM Sum'!$G$14</f>
        <v>24977265</v>
      </c>
      <c r="R22" s="722"/>
      <c r="T22" s="596"/>
      <c r="U22" s="596"/>
      <c r="V22" s="596"/>
    </row>
    <row r="23" spans="1:22" ht="13.5" thickBot="1">
      <c r="A23" s="599"/>
      <c r="B23" s="599"/>
      <c r="C23" s="599">
        <f>COUNTA(D11:D22)</f>
        <v>12</v>
      </c>
      <c r="D23" s="600" t="s">
        <v>126</v>
      </c>
      <c r="E23" s="723">
        <f t="shared" ref="E23" si="1">$E$6</f>
        <v>2018</v>
      </c>
      <c r="F23" s="802">
        <v>445566</v>
      </c>
      <c r="G23" s="784">
        <f>'Smmy Sum'!$C$18</f>
        <v>27608.730000000007</v>
      </c>
      <c r="H23" s="1035">
        <f>'Smmy Sum'!$I$20</f>
        <v>10948.399999999998</v>
      </c>
      <c r="I23" s="775">
        <f>'Smmy Sum'!$G$53</f>
        <v>6340630122</v>
      </c>
      <c r="J23" s="775">
        <f>'Smmy Sum'!$F$32</f>
        <v>297519480</v>
      </c>
      <c r="K23" s="775">
        <f>'Smmy Sum'!$G$23</f>
        <v>1925768312</v>
      </c>
      <c r="L23" s="775">
        <f>'Smmy Sum'!$F$35</f>
        <v>892704561</v>
      </c>
      <c r="M23" s="790"/>
      <c r="N23" s="790"/>
      <c r="O23" s="775">
        <f>'Smmy Sum'!$F$50</f>
        <v>3224637769</v>
      </c>
      <c r="P23" s="790"/>
      <c r="Q23" s="1036">
        <f>'Smmy Sum'!$G$26</f>
        <v>90274924</v>
      </c>
      <c r="R23" s="724"/>
      <c r="T23" s="102"/>
      <c r="U23" s="102"/>
      <c r="V23" s="102"/>
    </row>
    <row r="24" spans="1:22" s="102" customFormat="1" ht="13.5" thickTop="1">
      <c r="A24" s="101"/>
      <c r="B24" s="101"/>
      <c r="C24" s="101"/>
      <c r="P24" s="602"/>
      <c r="Q24" s="602"/>
      <c r="R24" s="602"/>
    </row>
    <row r="25" spans="1:22" s="102" customFormat="1">
      <c r="A25" s="101"/>
      <c r="B25" s="102" t="s">
        <v>1077</v>
      </c>
      <c r="C25" s="101"/>
      <c r="P25" s="602"/>
      <c r="Q25" s="602"/>
      <c r="R25" s="602"/>
    </row>
    <row r="26" spans="1:22" s="102" customFormat="1">
      <c r="A26" s="101"/>
      <c r="B26" s="102" t="s">
        <v>1078</v>
      </c>
      <c r="C26" s="101"/>
      <c r="G26" s="101"/>
      <c r="H26" s="101"/>
      <c r="I26" s="101" t="s">
        <v>1133</v>
      </c>
      <c r="J26" s="101" t="s">
        <v>1133</v>
      </c>
      <c r="K26" s="101" t="s">
        <v>1133</v>
      </c>
      <c r="L26" s="101"/>
      <c r="M26" s="101"/>
      <c r="N26" s="101"/>
      <c r="O26" s="101" t="s">
        <v>1133</v>
      </c>
      <c r="P26" s="602"/>
      <c r="Q26" s="602"/>
      <c r="R26" s="602"/>
    </row>
    <row r="27" spans="1:22" s="102" customFormat="1" ht="38.25">
      <c r="A27" s="101"/>
      <c r="B27" s="101"/>
      <c r="C27" s="102" t="s">
        <v>1325</v>
      </c>
      <c r="G27" s="101"/>
      <c r="H27" s="101"/>
      <c r="I27" s="725" t="s">
        <v>89</v>
      </c>
      <c r="J27" s="134" t="s">
        <v>37</v>
      </c>
      <c r="K27" s="133" t="s">
        <v>1</v>
      </c>
      <c r="L27" s="134" t="s">
        <v>7</v>
      </c>
      <c r="M27" s="134" t="s">
        <v>1381</v>
      </c>
      <c r="N27" s="134" t="s">
        <v>1382</v>
      </c>
      <c r="O27" s="134" t="s">
        <v>40</v>
      </c>
    </row>
    <row r="28" spans="1:22" s="102" customFormat="1" ht="38.25" hidden="1" outlineLevel="1">
      <c r="A28" s="101"/>
      <c r="B28" s="101"/>
      <c r="C28" s="101"/>
      <c r="D28" s="132" t="s">
        <v>128</v>
      </c>
      <c r="G28" s="101"/>
      <c r="H28" s="101"/>
      <c r="I28" s="642" t="s">
        <v>1134</v>
      </c>
      <c r="J28" s="134" t="s">
        <v>38</v>
      </c>
      <c r="K28" s="133" t="s">
        <v>2</v>
      </c>
      <c r="L28" s="726"/>
      <c r="M28" s="726"/>
      <c r="N28" s="726"/>
      <c r="O28" s="134" t="s">
        <v>9</v>
      </c>
      <c r="P28" s="132"/>
      <c r="Q28" s="132"/>
      <c r="R28" s="132"/>
    </row>
    <row r="29" spans="1:22" s="102" customFormat="1" ht="25.5" hidden="1" outlineLevel="1">
      <c r="A29" s="101"/>
      <c r="B29" s="101"/>
      <c r="C29" s="101"/>
      <c r="G29" s="727"/>
      <c r="H29" s="727"/>
      <c r="I29" s="642" t="s">
        <v>1177</v>
      </c>
      <c r="J29" s="642" t="s">
        <v>1081</v>
      </c>
      <c r="K29" s="133" t="s">
        <v>105</v>
      </c>
      <c r="L29" s="727"/>
      <c r="M29" s="727"/>
      <c r="N29" s="727"/>
      <c r="O29" s="134" t="s">
        <v>10</v>
      </c>
    </row>
    <row r="30" spans="1:22" s="102" customFormat="1" ht="38.25" hidden="1" outlineLevel="1">
      <c r="A30" s="101"/>
      <c r="B30" s="101"/>
      <c r="C30" s="101"/>
      <c r="G30" s="72"/>
      <c r="H30" s="72"/>
      <c r="I30" s="642" t="s">
        <v>1176</v>
      </c>
      <c r="J30" s="72"/>
      <c r="K30" s="727"/>
      <c r="L30" s="72"/>
      <c r="M30" s="72"/>
      <c r="N30" s="72"/>
      <c r="O30" s="134" t="s">
        <v>11</v>
      </c>
    </row>
    <row r="31" spans="1:22" s="102" customFormat="1" ht="25.5" hidden="1" outlineLevel="1">
      <c r="A31" s="101"/>
      <c r="B31" s="101"/>
      <c r="C31" s="101"/>
      <c r="O31" s="678" t="s">
        <v>1110</v>
      </c>
    </row>
    <row r="32" spans="1:22" s="102" customFormat="1" ht="25.5" hidden="1" outlineLevel="1">
      <c r="A32" s="101"/>
      <c r="B32" s="101"/>
      <c r="C32" s="101"/>
      <c r="O32" s="134" t="s">
        <v>41</v>
      </c>
    </row>
    <row r="33" spans="1:20" s="102" customFormat="1" hidden="1" outlineLevel="1">
      <c r="A33" s="101"/>
      <c r="B33" s="101"/>
      <c r="C33" s="101"/>
      <c r="G33" s="103"/>
      <c r="H33" s="103"/>
      <c r="I33" s="103"/>
      <c r="J33" s="103"/>
      <c r="K33" s="103"/>
      <c r="L33" s="103"/>
      <c r="M33" s="103"/>
      <c r="N33" s="103"/>
      <c r="O33" s="103"/>
    </row>
    <row r="34" spans="1:20" s="102" customFormat="1" hidden="1" outlineLevel="1">
      <c r="A34" s="101"/>
      <c r="B34" s="101"/>
      <c r="C34" s="101"/>
      <c r="G34" s="136"/>
      <c r="H34" s="136"/>
      <c r="I34" s="136"/>
      <c r="J34" s="136"/>
      <c r="K34" s="136"/>
      <c r="L34" s="136"/>
      <c r="M34" s="136"/>
      <c r="N34" s="136"/>
      <c r="O34" s="136"/>
    </row>
    <row r="35" spans="1:20" s="102" customFormat="1" hidden="1" outlineLevel="1">
      <c r="A35" s="101"/>
      <c r="B35" s="101"/>
      <c r="C35" s="101"/>
      <c r="G35" s="136"/>
      <c r="H35" s="136"/>
      <c r="I35" s="136"/>
      <c r="J35" s="136"/>
      <c r="K35" s="136"/>
      <c r="L35" s="136"/>
      <c r="M35" s="136"/>
      <c r="N35" s="136"/>
      <c r="O35" s="136"/>
    </row>
    <row r="36" spans="1:20" s="102" customFormat="1" hidden="1" outlineLevel="1">
      <c r="A36" s="101"/>
      <c r="B36" s="101"/>
      <c r="C36" s="101"/>
      <c r="G36" s="136"/>
      <c r="H36" s="136"/>
      <c r="I36" s="136"/>
      <c r="J36" s="136"/>
      <c r="K36" s="136"/>
      <c r="L36" s="136"/>
      <c r="M36" s="136"/>
      <c r="N36" s="136"/>
      <c r="O36" s="136"/>
    </row>
    <row r="37" spans="1:20" s="102" customFormat="1" hidden="1" outlineLevel="1">
      <c r="A37" s="101"/>
      <c r="B37" s="101"/>
      <c r="C37" s="101"/>
      <c r="G37" s="136"/>
      <c r="H37" s="136"/>
      <c r="I37" s="136"/>
      <c r="J37" s="136"/>
      <c r="K37" s="136"/>
      <c r="L37" s="136"/>
      <c r="M37" s="136"/>
      <c r="N37" s="136"/>
      <c r="O37" s="136"/>
    </row>
    <row r="38" spans="1:20" s="102" customFormat="1" collapsed="1">
      <c r="A38" s="101"/>
      <c r="B38" s="101"/>
      <c r="C38" s="101"/>
      <c r="T38" s="105"/>
    </row>
    <row r="39" spans="1:20" s="102" customFormat="1">
      <c r="A39" s="101"/>
      <c r="B39" s="101"/>
      <c r="C39" s="101"/>
    </row>
    <row r="40" spans="1:20" s="102" customFormat="1">
      <c r="A40" s="101"/>
      <c r="B40" s="101"/>
      <c r="C40" s="101"/>
      <c r="G40" s="617" t="str">
        <f>IF(SUM(G11:G22)&lt;&gt;'Smmy Sum'!$C$18,"Error","Balanced")</f>
        <v>Balanced</v>
      </c>
      <c r="H40" s="617" t="str">
        <f>IF(SUM(H11:H22)&lt;&gt;'Smmy Sum'!$I$20,"Error","Balanced")</f>
        <v>Balanced</v>
      </c>
      <c r="I40" s="617" t="str">
        <f>IF(SUM(I11:I22)&lt;&gt;'Smmy Sum'!$G$53,"Error","Balanced")</f>
        <v>Balanced</v>
      </c>
      <c r="J40" s="617" t="str">
        <f>IF(SUM(J11:J22)&lt;&gt;'Smmy Sum'!$F$32,"Error","Balanced")</f>
        <v>Balanced</v>
      </c>
      <c r="K40" s="617" t="str">
        <f>IF(SUM(K11:K22)&lt;&gt;'Smmy Sum'!$G$23,"Error","Balanced")</f>
        <v>Balanced</v>
      </c>
      <c r="L40" s="617" t="str">
        <f>IF(SUM(L11:L22)&lt;&gt;'Smmy Sum'!$F$35,"Error","Balanced")</f>
        <v>Balanced</v>
      </c>
      <c r="M40" s="617"/>
      <c r="N40" s="617"/>
      <c r="O40" s="617" t="str">
        <f>IF(SUM(O11:O22)&lt;&gt;'Smmy Sum'!$F$50,"Error","Balanced")</f>
        <v>Balanced</v>
      </c>
      <c r="P40" s="617"/>
      <c r="Q40" s="617" t="str">
        <f>IF(SUM(Q11:Q22)&lt;&gt;'Smmy Sum'!$G$26,"Error","Balanced")</f>
        <v>Balanced</v>
      </c>
      <c r="R40" s="617"/>
    </row>
    <row r="41" spans="1:20" s="102" customFormat="1">
      <c r="A41" s="101"/>
      <c r="B41" s="101"/>
      <c r="C41" s="101"/>
    </row>
    <row r="42" spans="1:20" s="102" customFormat="1">
      <c r="A42" s="101"/>
      <c r="B42" s="101"/>
      <c r="C42" s="101"/>
      <c r="G42" s="101" t="s">
        <v>1080</v>
      </c>
      <c r="H42" s="101" t="s">
        <v>1168</v>
      </c>
      <c r="I42" s="101" t="s">
        <v>440</v>
      </c>
      <c r="J42" s="101" t="s">
        <v>405</v>
      </c>
      <c r="K42" s="101" t="s">
        <v>429</v>
      </c>
      <c r="L42" s="101" t="s">
        <v>406</v>
      </c>
      <c r="M42" s="101"/>
      <c r="N42" s="101"/>
      <c r="O42" s="101" t="s">
        <v>768</v>
      </c>
      <c r="P42" s="101"/>
      <c r="Q42" s="101" t="s">
        <v>431</v>
      </c>
      <c r="R42" s="101"/>
    </row>
    <row r="43" spans="1:20" s="102" customFormat="1">
      <c r="A43" s="101"/>
      <c r="B43" s="101"/>
      <c r="C43" s="101"/>
    </row>
    <row r="44" spans="1:20" s="102" customFormat="1" ht="13.5" thickBot="1">
      <c r="A44" s="101"/>
      <c r="B44" s="101"/>
      <c r="D44" s="102" t="s">
        <v>1697</v>
      </c>
      <c r="G44" s="821">
        <v>27608.730000000007</v>
      </c>
      <c r="H44" s="821">
        <v>10948.399999999998</v>
      </c>
      <c r="I44" s="49">
        <v>6340630122</v>
      </c>
      <c r="J44" s="49">
        <v>297519480</v>
      </c>
      <c r="K44" s="49">
        <v>1925768312</v>
      </c>
      <c r="L44" s="49">
        <v>892704561</v>
      </c>
      <c r="M44" s="49"/>
      <c r="N44" s="49"/>
      <c r="O44" s="775">
        <v>3224637769</v>
      </c>
      <c r="P44" s="724"/>
      <c r="Q44" s="775">
        <v>90274924</v>
      </c>
      <c r="R44" s="724"/>
    </row>
    <row r="45" spans="1:20" s="102" customFormat="1" ht="13.5" thickTop="1">
      <c r="A45" s="101"/>
      <c r="B45" s="101"/>
      <c r="C45" s="101"/>
    </row>
    <row r="46" spans="1:20" s="102" customFormat="1">
      <c r="A46" s="101"/>
      <c r="B46" s="101"/>
      <c r="C46" s="101"/>
      <c r="G46" s="822">
        <f>G44-G23</f>
        <v>0</v>
      </c>
      <c r="H46" s="822">
        <f t="shared" ref="H46:Q46" si="2">H44-H23</f>
        <v>0</v>
      </c>
      <c r="I46" s="822">
        <f t="shared" si="2"/>
        <v>0</v>
      </c>
      <c r="J46" s="822">
        <f t="shared" si="2"/>
        <v>0</v>
      </c>
      <c r="K46" s="822">
        <f t="shared" si="2"/>
        <v>0</v>
      </c>
      <c r="L46" s="822">
        <f t="shared" si="2"/>
        <v>0</v>
      </c>
      <c r="M46" s="822">
        <f t="shared" si="2"/>
        <v>0</v>
      </c>
      <c r="N46" s="822">
        <f t="shared" si="2"/>
        <v>0</v>
      </c>
      <c r="O46" s="822">
        <f t="shared" si="2"/>
        <v>0</v>
      </c>
      <c r="P46" s="822">
        <f t="shared" si="2"/>
        <v>0</v>
      </c>
      <c r="Q46" s="822">
        <f t="shared" si="2"/>
        <v>0</v>
      </c>
    </row>
    <row r="47" spans="1:20" s="102" customFormat="1">
      <c r="A47" s="101"/>
      <c r="B47" s="101"/>
      <c r="C47" s="101"/>
    </row>
    <row r="48" spans="1:20" s="102" customFormat="1">
      <c r="A48" s="101"/>
      <c r="B48" s="101"/>
      <c r="C48" s="101"/>
      <c r="G48" s="728"/>
      <c r="H48" s="728"/>
      <c r="I48" s="728"/>
      <c r="J48" s="728"/>
      <c r="K48" s="728"/>
      <c r="L48" s="728"/>
      <c r="M48" s="728"/>
      <c r="N48" s="728"/>
      <c r="O48" s="728"/>
      <c r="P48" s="728"/>
      <c r="Q48" s="728"/>
      <c r="R48" s="728"/>
    </row>
    <row r="49" spans="1:20" s="102" customFormat="1">
      <c r="A49" s="101"/>
      <c r="B49" s="101"/>
      <c r="C49" s="101"/>
    </row>
    <row r="50" spans="1:20" s="102" customFormat="1">
      <c r="A50" s="101"/>
      <c r="B50" s="101"/>
      <c r="C50" s="101"/>
      <c r="D50" s="103" t="s">
        <v>1392</v>
      </c>
      <c r="F50" s="729">
        <f t="shared" ref="F50:L50" si="3">SUM(F11:F22)+F23</f>
        <v>1038949</v>
      </c>
      <c r="G50" s="803">
        <f t="shared" si="3"/>
        <v>55217.460000000006</v>
      </c>
      <c r="H50" s="803">
        <f t="shared" si="3"/>
        <v>21896.799999999996</v>
      </c>
      <c r="I50" s="729">
        <f t="shared" si="3"/>
        <v>12681260244</v>
      </c>
      <c r="J50" s="729">
        <f t="shared" si="3"/>
        <v>595038960</v>
      </c>
      <c r="K50" s="729">
        <f t="shared" si="3"/>
        <v>3851536624</v>
      </c>
      <c r="L50" s="729">
        <f t="shared" si="3"/>
        <v>1785409122</v>
      </c>
      <c r="M50" s="729"/>
      <c r="N50" s="729"/>
      <c r="O50" s="729">
        <f>SUM(O11:O22)+O23</f>
        <v>6449275538</v>
      </c>
      <c r="Q50" s="729">
        <f>SUM(Q11:Q22)+Q23</f>
        <v>180549848</v>
      </c>
      <c r="T50" s="803">
        <f>SUM(F50:S50)</f>
        <v>25544186399.260002</v>
      </c>
    </row>
    <row r="51" spans="1:20" s="102" customFormat="1">
      <c r="A51" s="101"/>
      <c r="B51" s="101"/>
      <c r="C51" s="101"/>
    </row>
    <row r="52" spans="1:20" s="102" customFormat="1">
      <c r="A52" s="101"/>
      <c r="B52" s="101"/>
      <c r="C52" s="101"/>
    </row>
    <row r="53" spans="1:20" s="102" customFormat="1">
      <c r="A53" s="101"/>
      <c r="B53" s="101"/>
      <c r="C53" s="101"/>
      <c r="D53" s="102" t="s">
        <v>1698</v>
      </c>
      <c r="F53" s="102">
        <v>1038949</v>
      </c>
      <c r="G53" s="102">
        <v>55217.460000000006</v>
      </c>
      <c r="H53" s="102">
        <v>21896.799999999996</v>
      </c>
      <c r="I53" s="102">
        <v>12681260244</v>
      </c>
      <c r="J53" s="102">
        <v>595038960</v>
      </c>
      <c r="K53" s="102">
        <v>3851536624</v>
      </c>
      <c r="L53" s="102">
        <v>1785409122</v>
      </c>
      <c r="O53" s="102">
        <v>6449275538</v>
      </c>
      <c r="Q53" s="102">
        <v>180549848</v>
      </c>
      <c r="T53" s="873">
        <v>24300022549.799999</v>
      </c>
    </row>
    <row r="54" spans="1:20" s="102" customFormat="1">
      <c r="A54" s="101"/>
      <c r="B54" s="101"/>
      <c r="C54" s="101"/>
      <c r="F54" s="120">
        <f>F50-F53</f>
        <v>0</v>
      </c>
      <c r="G54" s="120">
        <f t="shared" ref="G54:Q54" si="4">G50-G53</f>
        <v>0</v>
      </c>
      <c r="H54" s="120">
        <f t="shared" si="4"/>
        <v>0</v>
      </c>
      <c r="I54" s="120">
        <f t="shared" si="4"/>
        <v>0</v>
      </c>
      <c r="J54" s="120">
        <f t="shared" si="4"/>
        <v>0</v>
      </c>
      <c r="K54" s="120">
        <f t="shared" si="4"/>
        <v>0</v>
      </c>
      <c r="L54" s="120">
        <f t="shared" si="4"/>
        <v>0</v>
      </c>
      <c r="M54" s="120">
        <f t="shared" si="4"/>
        <v>0</v>
      </c>
      <c r="N54" s="120">
        <f t="shared" si="4"/>
        <v>0</v>
      </c>
      <c r="O54" s="120">
        <f t="shared" si="4"/>
        <v>0</v>
      </c>
      <c r="P54" s="120">
        <f t="shared" si="4"/>
        <v>0</v>
      </c>
      <c r="Q54" s="120">
        <f t="shared" si="4"/>
        <v>0</v>
      </c>
      <c r="T54" s="120">
        <f>T50-T53</f>
        <v>1244163849.4600029</v>
      </c>
    </row>
    <row r="55" spans="1:20" s="102" customFormat="1">
      <c r="A55" s="101"/>
      <c r="B55" s="101"/>
      <c r="C55" s="101"/>
    </row>
    <row r="56" spans="1:20" s="102" customFormat="1">
      <c r="A56" s="101"/>
      <c r="B56" s="101"/>
      <c r="C56" s="101"/>
    </row>
    <row r="57" spans="1:20" s="102" customFormat="1">
      <c r="A57" s="101"/>
      <c r="B57" s="101"/>
      <c r="C57" s="101"/>
    </row>
    <row r="58" spans="1:20" s="102" customFormat="1">
      <c r="A58" s="101"/>
      <c r="B58" s="101"/>
      <c r="C58" s="101"/>
    </row>
    <row r="59" spans="1:20" s="102" customFormat="1">
      <c r="A59" s="101"/>
      <c r="B59" s="101"/>
      <c r="C59" s="101"/>
    </row>
    <row r="60" spans="1:20" s="102" customFormat="1">
      <c r="A60" s="101"/>
      <c r="B60" s="101"/>
      <c r="C60" s="101"/>
    </row>
    <row r="61" spans="1:20" s="102" customFormat="1">
      <c r="A61" s="101"/>
      <c r="B61" s="101"/>
      <c r="C61" s="101"/>
    </row>
    <row r="62" spans="1:20" s="102" customFormat="1">
      <c r="A62" s="101"/>
      <c r="B62" s="101"/>
      <c r="C62" s="101"/>
    </row>
    <row r="63" spans="1:20" s="102" customFormat="1">
      <c r="A63" s="101"/>
      <c r="B63" s="101"/>
      <c r="C63" s="101"/>
    </row>
    <row r="64" spans="1:20"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1:22" s="102" customFormat="1">
      <c r="A769" s="101"/>
      <c r="B769" s="101"/>
      <c r="C769" s="101"/>
    </row>
    <row r="770" spans="1:22" s="102" customFormat="1">
      <c r="A770" s="101"/>
      <c r="B770" s="101"/>
      <c r="C770" s="101"/>
    </row>
    <row r="771" spans="1:22" s="102" customFormat="1">
      <c r="A771" s="101"/>
      <c r="B771" s="101"/>
      <c r="C771" s="101"/>
    </row>
    <row r="772" spans="1:22" s="102" customFormat="1">
      <c r="A772" s="101"/>
      <c r="B772" s="101"/>
      <c r="C772" s="101"/>
    </row>
    <row r="773" spans="1:22" s="102" customFormat="1">
      <c r="A773" s="101"/>
      <c r="B773" s="101"/>
      <c r="C773" s="101"/>
    </row>
    <row r="774" spans="1:22" s="102" customFormat="1">
      <c r="A774" s="101"/>
      <c r="B774" s="101"/>
      <c r="C774" s="101"/>
    </row>
    <row r="775" spans="1:22" s="102" customFormat="1">
      <c r="A775" s="101"/>
      <c r="B775" s="101"/>
      <c r="C775" s="101"/>
    </row>
    <row r="776" spans="1:22" s="102" customFormat="1">
      <c r="A776" s="101"/>
      <c r="B776" s="101"/>
      <c r="C776" s="101"/>
    </row>
    <row r="777" spans="1:22" s="102" customFormat="1">
      <c r="A777" s="101"/>
      <c r="B777" s="101"/>
      <c r="C777" s="101"/>
    </row>
    <row r="778" spans="1:22" s="102" customFormat="1">
      <c r="A778" s="101"/>
      <c r="B778" s="101"/>
      <c r="C778" s="101"/>
    </row>
    <row r="779" spans="1:22" s="102" customFormat="1">
      <c r="A779" s="101"/>
      <c r="B779" s="101"/>
      <c r="C779" s="101"/>
    </row>
    <row r="780" spans="1:22" s="102" customFormat="1">
      <c r="A780" s="101"/>
      <c r="B780" s="101"/>
      <c r="C780" s="101"/>
    </row>
    <row r="781" spans="1:22" s="102" customFormat="1">
      <c r="A781" s="101"/>
      <c r="B781" s="101"/>
      <c r="C781" s="101"/>
      <c r="T781" s="53"/>
      <c r="U781" s="53"/>
      <c r="V781" s="53"/>
    </row>
  </sheetData>
  <sortState ref="A11:V22">
    <sortCondition ref="A11:A22"/>
  </sortState>
  <mergeCells count="2">
    <mergeCell ref="A5:C5"/>
    <mergeCell ref="B8:C8"/>
  </mergeCells>
  <hyperlinks>
    <hyperlink ref="L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4"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V779"/>
  <sheetViews>
    <sheetView showGridLines="0" zoomScale="80" zoomScaleNormal="80" workbookViewId="0">
      <pane xSplit="6" ySplit="10" topLeftCell="G11" activePane="bottomRight" state="frozen"/>
      <selection activeCell="C36" sqref="C36"/>
      <selection pane="topRight" activeCell="C36" sqref="C36"/>
      <selection pane="bottomLeft" activeCell="C36" sqref="C36"/>
      <selection pane="bottomRight" activeCell="Q6" sqref="Q6"/>
    </sheetView>
  </sheetViews>
  <sheetFormatPr defaultRowHeight="12.75" outlineLevelRow="1"/>
  <cols>
    <col min="1" max="1" width="7.28515625" style="453" customWidth="1"/>
    <col min="2" max="2" width="5" style="453" customWidth="1"/>
    <col min="3" max="3" width="13" style="453" customWidth="1"/>
    <col min="4" max="4" width="25.140625" style="53" customWidth="1"/>
    <col min="5" max="5" width="10.28515625" style="53" customWidth="1"/>
    <col min="6" max="6" width="13.42578125" style="53" customWidth="1"/>
    <col min="7" max="7" width="15.5703125" style="604" customWidth="1"/>
    <col min="8" max="8" width="16.28515625" style="604" customWidth="1"/>
    <col min="9" max="9" width="13.28515625" style="604" customWidth="1"/>
    <col min="10" max="10" width="12.85546875" style="604" customWidth="1"/>
    <col min="11" max="11" width="16.85546875" style="620" customWidth="1"/>
    <col min="12" max="12" width="14" style="604" customWidth="1"/>
    <col min="13" max="16" width="12.140625" style="604" customWidth="1"/>
    <col min="17" max="17" width="7.28515625" style="53" customWidth="1"/>
    <col min="18" max="18" width="12.85546875" style="53" customWidth="1"/>
    <col min="19" max="19" width="4" style="53" customWidth="1"/>
    <col min="20" max="20" width="19.42578125" style="53" customWidth="1"/>
    <col min="21" max="21" width="16.5703125" style="53" customWidth="1"/>
    <col min="22" max="22" width="26.85546875" style="53" customWidth="1"/>
    <col min="23" max="16384" width="9.140625" style="53"/>
  </cols>
  <sheetData>
    <row r="1" spans="1:22" ht="13.5" thickBot="1">
      <c r="G1" s="103" t="s">
        <v>1122</v>
      </c>
      <c r="H1" s="102"/>
      <c r="I1" s="102"/>
      <c r="J1" s="102"/>
      <c r="K1" s="703" t="s">
        <v>1123</v>
      </c>
      <c r="L1" s="102"/>
      <c r="M1" s="102"/>
      <c r="N1" s="102"/>
      <c r="O1" s="102"/>
      <c r="P1" s="102"/>
    </row>
    <row r="2" spans="1:22">
      <c r="G2" s="103" t="s">
        <v>1507</v>
      </c>
      <c r="H2" s="102"/>
      <c r="I2" s="102"/>
      <c r="J2" s="102"/>
      <c r="K2" s="101"/>
      <c r="L2" s="102"/>
      <c r="M2" s="102"/>
      <c r="N2" s="102"/>
      <c r="O2" s="102"/>
      <c r="P2" s="102"/>
    </row>
    <row r="3" spans="1:22">
      <c r="A3" s="259" t="s">
        <v>1391</v>
      </c>
      <c r="G3" s="103"/>
      <c r="H3" s="102"/>
      <c r="I3" s="102"/>
      <c r="J3" s="102"/>
      <c r="K3" s="101"/>
      <c r="L3" s="102"/>
      <c r="M3" s="102"/>
      <c r="N3" s="102"/>
      <c r="O3" s="102"/>
      <c r="P3" s="102"/>
    </row>
    <row r="4" spans="1:22">
      <c r="E4" s="453">
        <v>2018</v>
      </c>
      <c r="G4" s="102"/>
      <c r="H4" s="102"/>
      <c r="I4" s="102"/>
      <c r="J4" s="102"/>
      <c r="K4" s="101"/>
      <c r="L4" s="102"/>
      <c r="M4" s="102"/>
      <c r="N4" s="102"/>
      <c r="O4" s="102"/>
      <c r="P4" s="102"/>
    </row>
    <row r="5" spans="1:22">
      <c r="A5" s="1217" t="s">
        <v>1383</v>
      </c>
      <c r="B5" s="1218"/>
      <c r="C5" s="1219"/>
      <c r="F5" s="453" t="s">
        <v>1124</v>
      </c>
      <c r="G5" s="102"/>
      <c r="H5" s="102"/>
      <c r="I5" s="102"/>
      <c r="J5" s="102"/>
      <c r="K5" s="101"/>
      <c r="L5" s="102"/>
      <c r="M5" s="102"/>
      <c r="N5" s="102"/>
      <c r="O5" s="102"/>
      <c r="P5" s="102"/>
    </row>
    <row r="6" spans="1:22">
      <c r="E6" s="453"/>
      <c r="F6" s="453" t="s">
        <v>1125</v>
      </c>
      <c r="G6" s="102"/>
      <c r="H6" s="102"/>
      <c r="I6" s="1221" t="s">
        <v>1294</v>
      </c>
      <c r="J6" s="1222"/>
      <c r="K6" s="1222"/>
      <c r="L6" s="1222"/>
      <c r="M6" s="1222"/>
      <c r="N6" s="1222"/>
      <c r="O6" s="1222"/>
      <c r="P6" s="1223"/>
    </row>
    <row r="7" spans="1:22">
      <c r="F7" s="453" t="s">
        <v>1126</v>
      </c>
      <c r="G7" s="102"/>
      <c r="H7" s="102"/>
      <c r="I7" s="102"/>
      <c r="J7" s="102"/>
      <c r="K7" s="101"/>
      <c r="L7" s="102"/>
      <c r="M7" s="102"/>
      <c r="N7" s="102"/>
      <c r="O7" s="102"/>
      <c r="P7" s="102"/>
    </row>
    <row r="8" spans="1:22" s="584" customFormat="1" ht="40.5" customHeight="1" thickBot="1">
      <c r="A8" s="1029" t="s">
        <v>1035</v>
      </c>
      <c r="B8" s="1220" t="s">
        <v>1127</v>
      </c>
      <c r="C8" s="1220"/>
      <c r="D8" s="1028" t="s">
        <v>224</v>
      </c>
      <c r="E8" s="1028" t="s">
        <v>1128</v>
      </c>
      <c r="F8" s="1028" t="s">
        <v>107</v>
      </c>
      <c r="G8" s="704" t="s">
        <v>1179</v>
      </c>
      <c r="H8" s="704" t="s">
        <v>1178</v>
      </c>
      <c r="I8" s="704"/>
      <c r="J8" s="704"/>
      <c r="K8" s="704"/>
      <c r="L8" s="704"/>
      <c r="M8" s="704"/>
      <c r="N8" s="704"/>
      <c r="O8" s="704"/>
      <c r="P8" s="704"/>
      <c r="Q8" s="1027"/>
      <c r="R8" s="1027"/>
      <c r="S8" s="705"/>
      <c r="T8" s="53"/>
      <c r="U8" s="53"/>
      <c r="V8" s="53"/>
    </row>
    <row r="9" spans="1:22" s="712" customFormat="1" ht="18.75" customHeight="1">
      <c r="A9" s="706" t="s">
        <v>1384</v>
      </c>
      <c r="B9" s="707"/>
      <c r="C9" s="707"/>
      <c r="D9" s="708"/>
      <c r="E9" s="707" t="s">
        <v>1129</v>
      </c>
      <c r="F9" s="707" t="s">
        <v>1130</v>
      </c>
      <c r="G9" s="709" t="s">
        <v>1385</v>
      </c>
      <c r="H9" s="710" t="s">
        <v>1386</v>
      </c>
      <c r="I9" s="710" t="s">
        <v>1387</v>
      </c>
      <c r="J9" s="710" t="s">
        <v>1388</v>
      </c>
      <c r="K9" s="710" t="s">
        <v>1389</v>
      </c>
      <c r="L9" s="710" t="s">
        <v>1368</v>
      </c>
      <c r="M9" s="710" t="s">
        <v>1369</v>
      </c>
      <c r="N9" s="710" t="s">
        <v>1370</v>
      </c>
      <c r="O9" s="710" t="s">
        <v>1390</v>
      </c>
      <c r="P9" s="1031" t="s">
        <v>1372</v>
      </c>
      <c r="Q9" s="711"/>
      <c r="R9" s="1224" t="s">
        <v>197</v>
      </c>
      <c r="T9" s="1030"/>
      <c r="U9" s="1030"/>
      <c r="V9" s="1030"/>
    </row>
    <row r="10" spans="1:22" ht="18" customHeight="1">
      <c r="A10" s="56" t="s">
        <v>1140</v>
      </c>
      <c r="D10" s="713"/>
      <c r="E10" s="714" t="s">
        <v>1131</v>
      </c>
      <c r="F10" s="453" t="s">
        <v>1132</v>
      </c>
      <c r="G10" s="730" t="s">
        <v>1169</v>
      </c>
      <c r="H10" s="731" t="s">
        <v>1170</v>
      </c>
      <c r="I10" s="731" t="s">
        <v>1269</v>
      </c>
      <c r="J10" s="731" t="s">
        <v>1270</v>
      </c>
      <c r="K10" s="731" t="s">
        <v>1271</v>
      </c>
      <c r="L10" s="731" t="s">
        <v>1272</v>
      </c>
      <c r="M10" s="731" t="s">
        <v>1273</v>
      </c>
      <c r="N10" s="731" t="s">
        <v>1274</v>
      </c>
      <c r="O10" s="731" t="s">
        <v>1275</v>
      </c>
      <c r="P10" s="732" t="s">
        <v>1276</v>
      </c>
      <c r="Q10" s="717"/>
      <c r="R10" s="1225"/>
      <c r="T10" s="718"/>
      <c r="U10" s="718"/>
      <c r="V10" s="718"/>
    </row>
    <row r="11" spans="1:22" ht="14.25" customHeight="1">
      <c r="A11" s="453">
        <v>390</v>
      </c>
      <c r="C11" s="801"/>
      <c r="D11" s="113" t="s">
        <v>110</v>
      </c>
      <c r="E11" s="407">
        <f t="shared" ref="E11:E22" si="0">$E$4</f>
        <v>2018</v>
      </c>
      <c r="F11" s="801">
        <v>30</v>
      </c>
      <c r="G11" s="733">
        <f>'SWM Sum'!$I$55</f>
        <v>703459</v>
      </c>
      <c r="H11" s="734">
        <f>'SWM Sum'!$I$57</f>
        <v>684049</v>
      </c>
      <c r="I11" s="1038">
        <v>26224</v>
      </c>
      <c r="J11" s="1038">
        <v>47163</v>
      </c>
      <c r="K11" s="1039"/>
      <c r="L11" s="1038">
        <v>10246</v>
      </c>
      <c r="M11" s="1038">
        <v>9487</v>
      </c>
      <c r="N11" s="1038"/>
      <c r="O11" s="1038"/>
      <c r="P11" s="1040"/>
      <c r="Q11" s="717"/>
      <c r="R11" s="871">
        <f>'SWM Sum'!$C$6</f>
        <v>2166.6799999999998</v>
      </c>
      <c r="T11" s="718"/>
      <c r="U11" s="718"/>
      <c r="V11" s="718"/>
    </row>
    <row r="12" spans="1:22" ht="12.75" customHeight="1">
      <c r="A12" s="453">
        <v>420</v>
      </c>
      <c r="B12" s="719"/>
      <c r="C12" s="801"/>
      <c r="D12" s="113" t="s">
        <v>112</v>
      </c>
      <c r="E12" s="407">
        <f t="shared" si="0"/>
        <v>2018</v>
      </c>
      <c r="F12" s="801">
        <v>40</v>
      </c>
      <c r="G12" s="733">
        <f>'HSSA Sum'!$I$55</f>
        <v>176791</v>
      </c>
      <c r="H12" s="734">
        <f>'HSSA Sum'!$I$57</f>
        <v>503903</v>
      </c>
      <c r="I12" s="1038">
        <v>23907</v>
      </c>
      <c r="J12" s="1038">
        <v>47866</v>
      </c>
      <c r="K12" s="1039">
        <v>44449</v>
      </c>
      <c r="L12" s="1038">
        <v>8597</v>
      </c>
      <c r="M12" s="1038">
        <v>8334</v>
      </c>
      <c r="N12" s="1038">
        <v>13414</v>
      </c>
      <c r="O12" s="1038"/>
      <c r="P12" s="1040"/>
      <c r="Q12" s="721"/>
      <c r="R12" s="871">
        <f>'HSSA Sum'!$C$6</f>
        <v>3827.8999999999996</v>
      </c>
      <c r="T12" s="596"/>
      <c r="U12" s="596"/>
      <c r="V12" s="596"/>
    </row>
    <row r="13" spans="1:22">
      <c r="A13" s="453">
        <v>450</v>
      </c>
      <c r="B13" s="719"/>
      <c r="C13" s="801"/>
      <c r="D13" s="113" t="s">
        <v>114</v>
      </c>
      <c r="E13" s="407">
        <f t="shared" si="0"/>
        <v>2018</v>
      </c>
      <c r="F13" s="801">
        <v>89</v>
      </c>
      <c r="G13" s="733">
        <f>'TAMHSC Sum'!$I$55</f>
        <v>86086</v>
      </c>
      <c r="H13" s="734">
        <f>'TAMHSC Sum'!$I$57</f>
        <v>436982</v>
      </c>
      <c r="I13" s="1038">
        <v>28133</v>
      </c>
      <c r="J13" s="1038">
        <v>50951</v>
      </c>
      <c r="K13" s="1039">
        <v>44439</v>
      </c>
      <c r="L13" s="1038">
        <v>17766</v>
      </c>
      <c r="M13" s="1038">
        <v>22945</v>
      </c>
      <c r="N13" s="1038">
        <v>10128</v>
      </c>
      <c r="O13" s="1038">
        <v>13353</v>
      </c>
      <c r="P13" s="1040">
        <v>13103</v>
      </c>
      <c r="Q13" s="721"/>
      <c r="R13" s="871">
        <f>'TAMHSC Sum'!$C$6</f>
        <v>3113.57</v>
      </c>
      <c r="T13" s="596"/>
      <c r="U13" s="596"/>
      <c r="V13" s="596"/>
    </row>
    <row r="14" spans="1:22">
      <c r="A14" s="453">
        <v>460</v>
      </c>
      <c r="B14" s="719"/>
      <c r="C14" s="801"/>
      <c r="D14" s="113" t="s">
        <v>116</v>
      </c>
      <c r="E14" s="407">
        <f t="shared" si="0"/>
        <v>2018</v>
      </c>
      <c r="F14" s="801">
        <v>130</v>
      </c>
      <c r="G14" s="733">
        <f>'UNTHSC Sum'!$I$55</f>
        <v>59500</v>
      </c>
      <c r="H14" s="734">
        <f>'UNTHSC Sum'!$I$57</f>
        <v>403727</v>
      </c>
      <c r="I14" s="1038">
        <v>22430</v>
      </c>
      <c r="J14" s="1038">
        <v>47278</v>
      </c>
      <c r="K14" s="1039"/>
      <c r="L14" s="1038">
        <v>10300</v>
      </c>
      <c r="M14" s="1038">
        <v>10099</v>
      </c>
      <c r="N14" s="1038"/>
      <c r="O14" s="1038">
        <v>21045</v>
      </c>
      <c r="P14" s="1040"/>
      <c r="Q14" s="721"/>
      <c r="R14" s="871">
        <f>'UNTHSC Sum'!$C$6</f>
        <v>2836.2200000000003</v>
      </c>
      <c r="T14" s="596"/>
      <c r="U14" s="596"/>
      <c r="V14" s="596"/>
    </row>
    <row r="15" spans="1:22">
      <c r="A15" s="453">
        <v>470</v>
      </c>
      <c r="B15" s="719"/>
      <c r="C15" s="801"/>
      <c r="D15" s="113" t="s">
        <v>120</v>
      </c>
      <c r="E15" s="407">
        <f t="shared" si="0"/>
        <v>2018</v>
      </c>
      <c r="F15" s="801">
        <v>412</v>
      </c>
      <c r="G15" s="733">
        <f>'TTUHSC Sum'!$I$55</f>
        <v>75732</v>
      </c>
      <c r="H15" s="734">
        <f>'TTUHSC Sum'!$I$57</f>
        <v>569567</v>
      </c>
      <c r="I15" s="1038">
        <v>16519</v>
      </c>
      <c r="J15" s="1038">
        <v>46324</v>
      </c>
      <c r="K15" s="1039"/>
      <c r="L15" s="1038">
        <v>18730</v>
      </c>
      <c r="M15" s="1038">
        <v>10873</v>
      </c>
      <c r="N15" s="1038">
        <v>10271</v>
      </c>
      <c r="O15" s="1038"/>
      <c r="P15" s="1040">
        <v>17166</v>
      </c>
      <c r="Q15" s="721"/>
      <c r="R15" s="871">
        <f>'TTUHSC Sum'!$C$6</f>
        <v>5735.93</v>
      </c>
      <c r="T15" s="596"/>
      <c r="U15" s="596"/>
      <c r="V15" s="596"/>
    </row>
    <row r="16" spans="1:22">
      <c r="A16" s="453">
        <v>480</v>
      </c>
      <c r="B16" s="719"/>
      <c r="C16" s="801"/>
      <c r="D16" s="206" t="s">
        <v>1324</v>
      </c>
      <c r="E16" s="950">
        <f t="shared" si="0"/>
        <v>2018</v>
      </c>
      <c r="F16" s="801">
        <v>862</v>
      </c>
      <c r="G16" s="733">
        <f>'TTUHSCEP Sum'!$I$55</f>
        <v>267092</v>
      </c>
      <c r="H16" s="734">
        <f>'TTUHSCEP Sum'!$I$57</f>
        <v>701715</v>
      </c>
      <c r="I16" s="1038">
        <v>28000</v>
      </c>
      <c r="J16" s="1038">
        <v>0</v>
      </c>
      <c r="K16" s="1039">
        <v>0</v>
      </c>
      <c r="L16" s="1038">
        <v>0</v>
      </c>
      <c r="M16" s="1038">
        <v>0</v>
      </c>
      <c r="N16" s="1038">
        <v>6271</v>
      </c>
      <c r="O16" s="1038">
        <v>0</v>
      </c>
      <c r="P16" s="1040">
        <v>0</v>
      </c>
      <c r="Q16" s="721"/>
      <c r="R16" s="871">
        <f>'TTUHSCEP Sum'!$C$6</f>
        <v>737.31000000000006</v>
      </c>
      <c r="T16" s="596"/>
      <c r="U16" s="596"/>
      <c r="V16" s="596"/>
    </row>
    <row r="17" spans="1:22">
      <c r="A17" s="453">
        <v>410</v>
      </c>
      <c r="B17" s="719"/>
      <c r="C17" s="801"/>
      <c r="D17" s="113" t="s">
        <v>122</v>
      </c>
      <c r="E17" s="407">
        <f t="shared" si="0"/>
        <v>2018</v>
      </c>
      <c r="F17" s="801">
        <v>11618</v>
      </c>
      <c r="G17" s="733">
        <f>'HSH Sum'!$I$55</f>
        <v>230837</v>
      </c>
      <c r="H17" s="734">
        <f>'HSH Sum'!$I$57</f>
        <v>585683</v>
      </c>
      <c r="I17" s="1038">
        <v>22376</v>
      </c>
      <c r="J17" s="1038">
        <v>46331</v>
      </c>
      <c r="K17" s="1039">
        <v>42838</v>
      </c>
      <c r="L17" s="1038">
        <v>10719</v>
      </c>
      <c r="M17" s="1038">
        <v>7321</v>
      </c>
      <c r="N17" s="1038">
        <v>8465</v>
      </c>
      <c r="O17" s="1038">
        <v>20524</v>
      </c>
      <c r="P17" s="1040"/>
      <c r="Q17" s="721"/>
      <c r="R17" s="871">
        <f>'AUSM Sum'!$C$6</f>
        <v>100</v>
      </c>
      <c r="T17" s="596"/>
      <c r="U17" s="596"/>
      <c r="V17" s="596"/>
    </row>
    <row r="18" spans="1:22">
      <c r="A18" s="453">
        <v>430</v>
      </c>
      <c r="B18" s="719"/>
      <c r="C18" s="801"/>
      <c r="D18" s="113" t="s">
        <v>124</v>
      </c>
      <c r="E18" s="407">
        <f t="shared" si="0"/>
        <v>2018</v>
      </c>
      <c r="F18" s="801">
        <v>25554</v>
      </c>
      <c r="G18" s="733">
        <f>'MDA Sum'!$I$55</f>
        <v>3695324</v>
      </c>
      <c r="H18" s="1023">
        <f>'MDA Sum'!$I$57</f>
        <v>780420</v>
      </c>
      <c r="I18" s="1038">
        <v>9276</v>
      </c>
      <c r="J18" s="1038"/>
      <c r="K18" s="1039"/>
      <c r="L18" s="1038"/>
      <c r="M18" s="1038">
        <v>9276</v>
      </c>
      <c r="N18" s="1038"/>
      <c r="O18" s="1038"/>
      <c r="P18" s="1040"/>
      <c r="Q18" s="721"/>
      <c r="R18" s="871">
        <f>'HSH Sum'!$C$6</f>
        <v>4887.8900000000003</v>
      </c>
      <c r="T18" s="596"/>
      <c r="U18" s="596"/>
      <c r="V18" s="596"/>
    </row>
    <row r="19" spans="1:22" s="57" customFormat="1">
      <c r="A19" s="453">
        <v>440</v>
      </c>
      <c r="B19" s="719"/>
      <c r="C19" s="801"/>
      <c r="D19" s="113" t="s">
        <v>1300</v>
      </c>
      <c r="E19" s="407">
        <f t="shared" si="0"/>
        <v>2018</v>
      </c>
      <c r="F19" s="801">
        <v>42439</v>
      </c>
      <c r="G19" s="733">
        <f>'THC Sum'!$I$55</f>
        <v>2199759</v>
      </c>
      <c r="H19" s="1023">
        <f>'THC Sum'!$I$57</f>
        <v>504443</v>
      </c>
      <c r="I19" s="1038">
        <v>22264</v>
      </c>
      <c r="J19" s="1038"/>
      <c r="K19" s="1039"/>
      <c r="L19" s="1038">
        <v>33915</v>
      </c>
      <c r="M19" s="1038"/>
      <c r="N19" s="1038"/>
      <c r="O19" s="1038"/>
      <c r="P19" s="1040"/>
      <c r="Q19" s="721"/>
      <c r="R19" s="871">
        <f>'THC Sum'!$C$6</f>
        <v>30.130000000000003</v>
      </c>
      <c r="S19" s="53"/>
      <c r="T19" s="596"/>
      <c r="U19" s="596"/>
      <c r="V19" s="596"/>
    </row>
    <row r="20" spans="1:22">
      <c r="A20" s="376">
        <v>400</v>
      </c>
      <c r="B20" s="961"/>
      <c r="C20" s="857"/>
      <c r="D20" s="206" t="s">
        <v>125</v>
      </c>
      <c r="E20" s="950">
        <f t="shared" si="0"/>
        <v>2018</v>
      </c>
      <c r="F20" s="857">
        <v>104952</v>
      </c>
      <c r="G20" s="733">
        <f>'MBG Sum'!$I$55</f>
        <v>180483</v>
      </c>
      <c r="H20" s="734">
        <f>'MBG Sum'!$I$57</f>
        <v>521259</v>
      </c>
      <c r="I20" s="1038">
        <v>20346</v>
      </c>
      <c r="J20" s="1038">
        <v>47905</v>
      </c>
      <c r="K20" s="1039"/>
      <c r="L20" s="1038">
        <v>12826</v>
      </c>
      <c r="M20" s="1038">
        <v>10062</v>
      </c>
      <c r="N20" s="1038">
        <v>10156</v>
      </c>
      <c r="O20" s="1038"/>
      <c r="P20" s="1040"/>
      <c r="Q20" s="721"/>
      <c r="R20" s="871">
        <f>'MDA Sum'!$C$6</f>
        <v>378.18</v>
      </c>
      <c r="T20" s="596"/>
      <c r="U20" s="596"/>
      <c r="V20" s="596"/>
    </row>
    <row r="21" spans="1:22">
      <c r="A21" s="453">
        <v>500</v>
      </c>
      <c r="B21" s="719"/>
      <c r="C21" s="801"/>
      <c r="D21" s="113" t="s">
        <v>1403</v>
      </c>
      <c r="E21" s="950">
        <f t="shared" si="0"/>
        <v>2018</v>
      </c>
      <c r="F21" s="801">
        <v>203599</v>
      </c>
      <c r="G21" s="733">
        <f>'RGVM Sum'!$I$55</f>
        <v>492670</v>
      </c>
      <c r="H21" s="734">
        <f>'RGVM Sum'!$I$57</f>
        <v>577594</v>
      </c>
      <c r="I21" s="1038">
        <v>0</v>
      </c>
      <c r="J21" s="1038">
        <v>0</v>
      </c>
      <c r="K21" s="1039"/>
      <c r="L21" s="1038"/>
      <c r="M21" s="1038"/>
      <c r="N21" s="1038"/>
      <c r="O21" s="1038"/>
      <c r="P21" s="1040"/>
      <c r="Q21" s="963"/>
      <c r="R21" s="964">
        <f>'MBG Sum'!$C$6</f>
        <v>3693.9200000000005</v>
      </c>
      <c r="S21" s="57"/>
      <c r="T21" s="954"/>
      <c r="U21" s="954"/>
      <c r="V21" s="954"/>
    </row>
    <row r="22" spans="1:22">
      <c r="A22" s="453">
        <v>510</v>
      </c>
      <c r="B22" s="719"/>
      <c r="C22" s="801"/>
      <c r="D22" s="113" t="s">
        <v>1404</v>
      </c>
      <c r="E22" s="950">
        <f t="shared" si="0"/>
        <v>2018</v>
      </c>
      <c r="F22" s="801">
        <v>203658</v>
      </c>
      <c r="G22" s="733">
        <f>'AUSM Sum'!$I$55</f>
        <v>994539</v>
      </c>
      <c r="H22" s="734">
        <f>'AUSM Sum'!$I$57</f>
        <v>1119346</v>
      </c>
      <c r="I22" s="1038">
        <v>0</v>
      </c>
      <c r="J22" s="1038">
        <v>0</v>
      </c>
      <c r="K22" s="1039"/>
      <c r="L22" s="1038"/>
      <c r="M22" s="1038"/>
      <c r="N22" s="1038"/>
      <c r="O22" s="1038"/>
      <c r="P22" s="1040"/>
      <c r="Q22" s="721"/>
      <c r="R22" s="871">
        <f>'RGVM Sum'!$C$6</f>
        <v>101</v>
      </c>
      <c r="T22" s="596"/>
      <c r="U22" s="596"/>
      <c r="V22" s="596"/>
    </row>
    <row r="23" spans="1:22" ht="13.5" thickBot="1">
      <c r="A23" s="599"/>
      <c r="B23" s="599"/>
      <c r="C23" s="599">
        <f>COUNTA(D11:D22)</f>
        <v>12</v>
      </c>
      <c r="D23" s="600" t="s">
        <v>126</v>
      </c>
      <c r="E23" s="723">
        <f t="shared" ref="E23" si="1">$E$6</f>
        <v>0</v>
      </c>
      <c r="F23" s="802">
        <v>445566</v>
      </c>
      <c r="G23" s="735">
        <v>183183</v>
      </c>
      <c r="H23" s="736">
        <v>534186</v>
      </c>
      <c r="I23" s="1041">
        <v>21973</v>
      </c>
      <c r="J23" s="1042">
        <v>46512</v>
      </c>
      <c r="K23" s="1043">
        <v>43929</v>
      </c>
      <c r="L23" s="1042">
        <v>11369</v>
      </c>
      <c r="M23" s="1041">
        <v>9848</v>
      </c>
      <c r="N23" s="1041">
        <v>10030</v>
      </c>
      <c r="O23" s="1041">
        <v>20648</v>
      </c>
      <c r="P23" s="1044">
        <v>13366</v>
      </c>
      <c r="Q23" s="724"/>
      <c r="R23" s="872">
        <f>SUM(R11:R22)</f>
        <v>27608.730000000003</v>
      </c>
      <c r="T23" s="102"/>
      <c r="U23" s="102"/>
      <c r="V23" s="102"/>
    </row>
    <row r="24" spans="1:22" s="102" customFormat="1" ht="13.5" thickTop="1">
      <c r="A24" s="101"/>
      <c r="B24" s="101"/>
      <c r="C24" s="101"/>
      <c r="K24" s="101"/>
      <c r="Q24" s="602"/>
      <c r="R24" s="602"/>
    </row>
    <row r="25" spans="1:22" s="102" customFormat="1">
      <c r="A25" s="101"/>
      <c r="B25" s="101"/>
      <c r="C25" s="101"/>
      <c r="D25" s="102" t="s">
        <v>1077</v>
      </c>
      <c r="K25" s="101"/>
      <c r="Q25" s="602"/>
      <c r="R25" s="602"/>
    </row>
    <row r="26" spans="1:22" s="102" customFormat="1">
      <c r="A26" s="101"/>
      <c r="B26" s="101"/>
      <c r="C26" s="101"/>
      <c r="D26" s="102" t="s">
        <v>1078</v>
      </c>
      <c r="K26" s="101"/>
      <c r="Q26" s="602"/>
      <c r="R26" s="602"/>
    </row>
    <row r="27" spans="1:22" s="102" customFormat="1">
      <c r="A27" s="101"/>
      <c r="B27" s="101"/>
      <c r="C27" s="101" t="s">
        <v>1325</v>
      </c>
      <c r="G27" s="76" t="s">
        <v>1141</v>
      </c>
      <c r="H27" s="76" t="s">
        <v>1141</v>
      </c>
      <c r="I27" s="76"/>
      <c r="J27" s="76"/>
      <c r="K27" s="76"/>
      <c r="L27" s="76"/>
      <c r="M27" s="76"/>
      <c r="N27" s="76"/>
      <c r="O27" s="76"/>
      <c r="P27" s="76"/>
    </row>
    <row r="28" spans="1:22" s="102" customFormat="1" ht="38.25" hidden="1" outlineLevel="1">
      <c r="A28" s="101"/>
      <c r="B28" s="101"/>
      <c r="C28" s="101"/>
      <c r="D28" s="132" t="s">
        <v>128</v>
      </c>
      <c r="G28" s="641" t="s">
        <v>1079</v>
      </c>
      <c r="H28" s="641" t="s">
        <v>1079</v>
      </c>
      <c r="I28" s="641"/>
      <c r="J28" s="641"/>
      <c r="K28" s="876"/>
      <c r="L28" s="641"/>
      <c r="M28" s="874"/>
      <c r="N28" s="874"/>
      <c r="O28" s="874"/>
      <c r="P28" s="874"/>
      <c r="Q28" s="132"/>
      <c r="R28" s="132"/>
    </row>
    <row r="29" spans="1:22" s="102" customFormat="1" ht="38.25" hidden="1" outlineLevel="1">
      <c r="A29" s="101"/>
      <c r="B29" s="101"/>
      <c r="C29" s="101"/>
      <c r="G29" s="642" t="s">
        <v>1175</v>
      </c>
      <c r="H29" s="642" t="s">
        <v>1175</v>
      </c>
      <c r="I29" s="642"/>
      <c r="J29" s="642"/>
      <c r="K29" s="877"/>
      <c r="L29" s="642"/>
      <c r="M29" s="875"/>
      <c r="N29" s="875"/>
      <c r="O29" s="875"/>
      <c r="P29" s="875"/>
    </row>
    <row r="30" spans="1:22" s="102" customFormat="1" hidden="1" outlineLevel="1">
      <c r="A30" s="101"/>
      <c r="B30" s="101"/>
      <c r="C30" s="101"/>
      <c r="G30" s="642" t="s">
        <v>1142</v>
      </c>
      <c r="H30" s="642" t="s">
        <v>1142</v>
      </c>
      <c r="I30" s="642"/>
      <c r="K30" s="877"/>
      <c r="L30" s="642"/>
      <c r="M30" s="875"/>
      <c r="N30" s="875"/>
      <c r="O30" s="875"/>
      <c r="P30" s="875"/>
    </row>
    <row r="31" spans="1:22" s="102" customFormat="1" hidden="1" outlineLevel="1">
      <c r="A31" s="101"/>
      <c r="B31" s="101"/>
      <c r="C31" s="101"/>
      <c r="K31" s="101"/>
    </row>
    <row r="32" spans="1:22" s="102" customFormat="1" hidden="1" outlineLevel="1">
      <c r="A32" s="101"/>
      <c r="B32" s="101"/>
      <c r="C32" s="101"/>
      <c r="K32" s="101"/>
    </row>
    <row r="33" spans="1:20" s="102" customFormat="1" hidden="1" outlineLevel="1">
      <c r="A33" s="101"/>
      <c r="B33" s="101"/>
      <c r="C33" s="101"/>
      <c r="G33" s="103"/>
      <c r="H33" s="103"/>
      <c r="I33" s="103"/>
      <c r="J33" s="103"/>
      <c r="K33" s="103"/>
      <c r="L33" s="103"/>
      <c r="M33" s="103"/>
      <c r="N33" s="103"/>
      <c r="O33" s="103"/>
      <c r="P33" s="103"/>
    </row>
    <row r="34" spans="1:20" s="102" customFormat="1" hidden="1" outlineLevel="1">
      <c r="A34" s="101"/>
      <c r="B34" s="101"/>
      <c r="C34" s="101"/>
      <c r="G34" s="136"/>
      <c r="H34" s="136"/>
      <c r="I34" s="136"/>
      <c r="J34" s="136"/>
      <c r="K34" s="101"/>
      <c r="L34" s="136"/>
      <c r="M34" s="136"/>
      <c r="N34" s="136"/>
      <c r="O34" s="136"/>
      <c r="P34" s="136"/>
    </row>
    <row r="35" spans="1:20" s="102" customFormat="1" hidden="1" outlineLevel="1">
      <c r="A35" s="101"/>
      <c r="B35" s="101"/>
      <c r="C35" s="101"/>
      <c r="G35" s="733">
        <f>'AUSM Sum'!$I$55</f>
        <v>994539</v>
      </c>
      <c r="H35" s="734">
        <f>'AUSM Sum'!$I$57</f>
        <v>1119346</v>
      </c>
      <c r="I35" s="136"/>
      <c r="J35" s="136"/>
      <c r="K35" s="101"/>
      <c r="L35" s="136"/>
      <c r="M35" s="136"/>
      <c r="N35" s="136"/>
      <c r="O35" s="136"/>
      <c r="P35" s="136"/>
    </row>
    <row r="36" spans="1:20" s="102" customFormat="1" hidden="1" outlineLevel="1">
      <c r="A36" s="101"/>
      <c r="B36" s="101"/>
      <c r="C36" s="101"/>
      <c r="G36" s="733">
        <f>'RGVM Sum'!$I$55</f>
        <v>492670</v>
      </c>
      <c r="H36" s="734">
        <f>'RGVM Sum'!$I$57</f>
        <v>577594</v>
      </c>
      <c r="I36" s="136"/>
      <c r="J36" s="136"/>
      <c r="K36" s="101"/>
      <c r="L36" s="136"/>
      <c r="M36" s="136"/>
      <c r="N36" s="136"/>
      <c r="O36" s="136"/>
      <c r="P36" s="136"/>
    </row>
    <row r="37" spans="1:20" s="102" customFormat="1" hidden="1" outlineLevel="1">
      <c r="A37" s="101"/>
      <c r="B37" s="101"/>
      <c r="C37" s="101"/>
      <c r="G37" s="136"/>
      <c r="H37" s="136"/>
      <c r="I37" s="136"/>
      <c r="J37" s="136"/>
      <c r="K37" s="101"/>
      <c r="L37" s="136"/>
      <c r="M37" s="136"/>
      <c r="N37" s="136"/>
      <c r="O37" s="136"/>
      <c r="P37" s="136"/>
    </row>
    <row r="38" spans="1:20" s="102" customFormat="1" collapsed="1">
      <c r="A38" s="101"/>
      <c r="B38" s="101"/>
      <c r="C38" s="101"/>
      <c r="K38" s="101"/>
      <c r="T38" s="105"/>
    </row>
    <row r="39" spans="1:20" s="102" customFormat="1">
      <c r="A39" s="101"/>
      <c r="B39" s="101"/>
      <c r="C39" s="101"/>
      <c r="K39" s="101"/>
    </row>
    <row r="40" spans="1:20" s="102" customFormat="1">
      <c r="A40" s="101"/>
      <c r="B40" s="101"/>
      <c r="C40" s="101"/>
      <c r="K40" s="101"/>
      <c r="Q40" s="617"/>
      <c r="R40" s="617"/>
    </row>
    <row r="41" spans="1:20" s="102" customFormat="1">
      <c r="A41" s="101"/>
      <c r="B41" s="101"/>
      <c r="C41" s="101"/>
      <c r="K41" s="101"/>
    </row>
    <row r="42" spans="1:20" s="102" customFormat="1">
      <c r="A42" s="101"/>
      <c r="B42" s="101"/>
      <c r="C42" s="101"/>
      <c r="G42" s="101" t="s">
        <v>484</v>
      </c>
      <c r="H42" s="101" t="s">
        <v>486</v>
      </c>
      <c r="I42" s="101"/>
      <c r="J42" s="101"/>
      <c r="K42" s="101"/>
      <c r="L42" s="101"/>
      <c r="M42" s="101"/>
      <c r="N42" s="101"/>
      <c r="O42" s="101"/>
      <c r="P42" s="101"/>
      <c r="Q42" s="101"/>
      <c r="R42" s="101"/>
    </row>
    <row r="43" spans="1:20" s="102" customFormat="1">
      <c r="A43" s="101"/>
      <c r="B43" s="101"/>
      <c r="C43" s="101"/>
      <c r="G43" s="823"/>
      <c r="H43" s="823"/>
      <c r="K43" s="101"/>
      <c r="R43" s="823"/>
    </row>
    <row r="44" spans="1:20" s="102" customFormat="1">
      <c r="A44" s="101"/>
      <c r="B44" s="101"/>
      <c r="C44" s="101"/>
      <c r="K44" s="101"/>
      <c r="Q44" s="728"/>
      <c r="R44" s="728"/>
    </row>
    <row r="45" spans="1:20" s="102" customFormat="1">
      <c r="A45" s="101"/>
      <c r="B45" s="101"/>
      <c r="C45" s="101"/>
      <c r="K45" s="101"/>
      <c r="R45" s="102" t="s">
        <v>1217</v>
      </c>
    </row>
    <row r="46" spans="1:20" s="102" customFormat="1">
      <c r="A46" s="101"/>
      <c r="B46" s="101"/>
      <c r="C46" s="101"/>
      <c r="K46" s="101"/>
    </row>
    <row r="47" spans="1:20" s="102" customFormat="1">
      <c r="A47" s="101"/>
      <c r="B47" s="101"/>
      <c r="C47" s="101"/>
      <c r="D47" s="103" t="s">
        <v>1392</v>
      </c>
      <c r="F47" s="729">
        <f t="shared" ref="F47:P47" si="2">SUM(F11:F22)+F23</f>
        <v>1038949</v>
      </c>
      <c r="G47" s="729">
        <f t="shared" si="2"/>
        <v>9345455</v>
      </c>
      <c r="H47" s="729">
        <f t="shared" si="2"/>
        <v>7922874</v>
      </c>
      <c r="I47" s="729">
        <f t="shared" si="2"/>
        <v>241448</v>
      </c>
      <c r="J47" s="729">
        <f t="shared" si="2"/>
        <v>380330</v>
      </c>
      <c r="K47" s="729">
        <f t="shared" si="2"/>
        <v>175655</v>
      </c>
      <c r="L47" s="729">
        <f t="shared" si="2"/>
        <v>134468</v>
      </c>
      <c r="M47" s="729">
        <f t="shared" si="2"/>
        <v>98245</v>
      </c>
      <c r="N47" s="729">
        <f t="shared" si="2"/>
        <v>68735</v>
      </c>
      <c r="O47" s="729">
        <f t="shared" si="2"/>
        <v>75570</v>
      </c>
      <c r="P47" s="729">
        <f t="shared" si="2"/>
        <v>43635</v>
      </c>
      <c r="R47" s="729">
        <f>SUM(F47:Q47)</f>
        <v>19525364</v>
      </c>
    </row>
    <row r="48" spans="1:20" s="102" customFormat="1">
      <c r="A48" s="101"/>
      <c r="B48" s="101"/>
      <c r="C48" s="101"/>
      <c r="I48" s="878"/>
      <c r="J48" s="878"/>
      <c r="K48" s="879"/>
      <c r="L48" s="878"/>
      <c r="M48" s="878"/>
      <c r="N48" s="878"/>
      <c r="O48" s="878"/>
      <c r="P48" s="878"/>
    </row>
    <row r="49" spans="1:18" s="102" customFormat="1">
      <c r="A49" s="101"/>
      <c r="B49" s="101"/>
      <c r="C49" s="101"/>
      <c r="I49" s="878"/>
      <c r="J49" s="878"/>
      <c r="K49" s="879"/>
      <c r="L49" s="878"/>
      <c r="M49" s="878"/>
      <c r="N49" s="878"/>
      <c r="O49" s="878"/>
      <c r="P49" s="878"/>
    </row>
    <row r="50" spans="1:18" s="102" customFormat="1">
      <c r="A50" s="101"/>
      <c r="B50" s="101"/>
      <c r="C50" s="101"/>
      <c r="D50" s="102" t="s">
        <v>1702</v>
      </c>
      <c r="F50" s="102">
        <v>1038949</v>
      </c>
      <c r="G50" s="102">
        <v>9345455</v>
      </c>
      <c r="H50" s="102">
        <v>7922874</v>
      </c>
      <c r="I50" s="878">
        <v>241448</v>
      </c>
      <c r="J50" s="878">
        <v>380330</v>
      </c>
      <c r="K50" s="879">
        <v>175655</v>
      </c>
      <c r="L50" s="878">
        <v>134468</v>
      </c>
      <c r="M50" s="878">
        <v>98245</v>
      </c>
      <c r="N50" s="878">
        <v>68735</v>
      </c>
      <c r="O50" s="878">
        <v>75570</v>
      </c>
      <c r="P50" s="878">
        <v>43635</v>
      </c>
      <c r="R50" s="729">
        <v>19525364</v>
      </c>
    </row>
    <row r="51" spans="1:18" s="102" customFormat="1">
      <c r="A51" s="101"/>
      <c r="B51" s="101"/>
      <c r="C51" s="101"/>
      <c r="D51" s="679">
        <v>43451</v>
      </c>
      <c r="F51" s="120">
        <f t="shared" ref="F51" si="3">F47-F50</f>
        <v>0</v>
      </c>
      <c r="G51" s="120">
        <f>G47-G50</f>
        <v>0</v>
      </c>
      <c r="H51" s="120">
        <f t="shared" ref="H51:R51" si="4">H47-H50</f>
        <v>0</v>
      </c>
      <c r="I51" s="878">
        <f t="shared" si="4"/>
        <v>0</v>
      </c>
      <c r="J51" s="878">
        <f t="shared" si="4"/>
        <v>0</v>
      </c>
      <c r="K51" s="879">
        <f t="shared" si="4"/>
        <v>0</v>
      </c>
      <c r="L51" s="878">
        <f t="shared" si="4"/>
        <v>0</v>
      </c>
      <c r="M51" s="878">
        <f t="shared" si="4"/>
        <v>0</v>
      </c>
      <c r="N51" s="878">
        <f t="shared" si="4"/>
        <v>0</v>
      </c>
      <c r="O51" s="878">
        <f t="shared" si="4"/>
        <v>0</v>
      </c>
      <c r="P51" s="878">
        <f t="shared" si="4"/>
        <v>0</v>
      </c>
      <c r="Q51" s="120">
        <f t="shared" si="4"/>
        <v>0</v>
      </c>
      <c r="R51" s="120">
        <f t="shared" si="4"/>
        <v>0</v>
      </c>
    </row>
    <row r="52" spans="1:18" s="102" customFormat="1">
      <c r="A52" s="101"/>
      <c r="B52" s="101"/>
      <c r="C52" s="101"/>
      <c r="K52" s="101"/>
      <c r="M52" s="120"/>
      <c r="N52" s="120"/>
      <c r="O52" s="120"/>
      <c r="P52" s="120"/>
    </row>
    <row r="53" spans="1:18" s="102" customFormat="1">
      <c r="A53" s="101"/>
      <c r="B53" s="101"/>
      <c r="C53" s="101"/>
      <c r="K53" s="101"/>
    </row>
    <row r="54" spans="1:18" s="102" customFormat="1">
      <c r="A54" s="101"/>
      <c r="B54" s="101"/>
      <c r="C54" s="101"/>
      <c r="K54" s="101"/>
    </row>
    <row r="55" spans="1:18" s="102" customFormat="1">
      <c r="A55" s="101"/>
      <c r="B55" s="101"/>
      <c r="C55" s="101"/>
      <c r="K55" s="101"/>
    </row>
    <row r="56" spans="1:18" s="102" customFormat="1">
      <c r="A56" s="101"/>
      <c r="B56" s="101"/>
      <c r="C56" s="101"/>
      <c r="K56" s="101"/>
    </row>
    <row r="57" spans="1:18" s="102" customFormat="1">
      <c r="A57" s="101"/>
      <c r="B57" s="101"/>
      <c r="C57" s="101"/>
      <c r="K57" s="101"/>
    </row>
    <row r="58" spans="1:18" s="102" customFormat="1">
      <c r="A58" s="101"/>
      <c r="B58" s="101"/>
      <c r="C58" s="101"/>
      <c r="K58" s="101"/>
    </row>
    <row r="59" spans="1:18" s="102" customFormat="1">
      <c r="A59" s="101"/>
      <c r="B59" s="101"/>
      <c r="C59" s="101"/>
      <c r="K59" s="101"/>
    </row>
    <row r="60" spans="1:18" s="102" customFormat="1">
      <c r="A60" s="101"/>
      <c r="B60" s="101"/>
      <c r="C60" s="101"/>
      <c r="K60" s="101"/>
    </row>
    <row r="61" spans="1:18" s="102" customFormat="1">
      <c r="A61" s="101"/>
      <c r="B61" s="101"/>
      <c r="C61" s="101"/>
      <c r="K61" s="101"/>
    </row>
    <row r="62" spans="1:18" s="102" customFormat="1">
      <c r="A62" s="101"/>
      <c r="B62" s="101"/>
      <c r="C62" s="101"/>
      <c r="K62" s="101"/>
    </row>
    <row r="63" spans="1:18" s="102" customFormat="1">
      <c r="A63" s="101"/>
      <c r="B63" s="101"/>
      <c r="C63" s="101"/>
      <c r="K63" s="101"/>
    </row>
    <row r="64" spans="1:18" s="102" customFormat="1">
      <c r="A64" s="101"/>
      <c r="B64" s="101"/>
      <c r="C64" s="101"/>
      <c r="K64" s="101"/>
    </row>
    <row r="65" spans="1:11" s="102" customFormat="1">
      <c r="A65" s="101"/>
      <c r="B65" s="101"/>
      <c r="C65" s="101"/>
      <c r="K65" s="101"/>
    </row>
    <row r="66" spans="1:11" s="102" customFormat="1">
      <c r="A66" s="101"/>
      <c r="B66" s="101"/>
      <c r="C66" s="101"/>
      <c r="K66" s="101"/>
    </row>
    <row r="67" spans="1:11" s="102" customFormat="1">
      <c r="A67" s="101"/>
      <c r="B67" s="101"/>
      <c r="C67" s="101"/>
      <c r="K67" s="101"/>
    </row>
    <row r="68" spans="1:11" s="102" customFormat="1">
      <c r="A68" s="101"/>
      <c r="B68" s="101"/>
      <c r="C68" s="101"/>
      <c r="K68" s="101"/>
    </row>
    <row r="69" spans="1:11" s="102" customFormat="1">
      <c r="A69" s="101"/>
      <c r="B69" s="101"/>
      <c r="C69" s="101"/>
      <c r="K69" s="101"/>
    </row>
    <row r="70" spans="1:11" s="102" customFormat="1">
      <c r="A70" s="101"/>
      <c r="B70" s="101"/>
      <c r="C70" s="101"/>
      <c r="K70" s="101"/>
    </row>
    <row r="71" spans="1:11" s="102" customFormat="1">
      <c r="A71" s="101"/>
      <c r="B71" s="101"/>
      <c r="C71" s="101"/>
      <c r="K71" s="101"/>
    </row>
    <row r="72" spans="1:11" s="102" customFormat="1">
      <c r="A72" s="101"/>
      <c r="B72" s="101"/>
      <c r="C72" s="101"/>
      <c r="K72" s="101"/>
    </row>
    <row r="73" spans="1:11" s="102" customFormat="1">
      <c r="A73" s="101"/>
      <c r="B73" s="101"/>
      <c r="C73" s="101"/>
      <c r="K73" s="101"/>
    </row>
    <row r="74" spans="1:11" s="102" customFormat="1">
      <c r="A74" s="101"/>
      <c r="B74" s="101"/>
      <c r="C74" s="101"/>
      <c r="K74" s="101"/>
    </row>
    <row r="75" spans="1:11" s="102" customFormat="1">
      <c r="A75" s="101"/>
      <c r="B75" s="101"/>
      <c r="C75" s="101"/>
      <c r="K75" s="101"/>
    </row>
    <row r="76" spans="1:11" s="102" customFormat="1">
      <c r="A76" s="101"/>
      <c r="B76" s="101"/>
      <c r="C76" s="101"/>
      <c r="K76" s="101"/>
    </row>
    <row r="77" spans="1:11" s="102" customFormat="1">
      <c r="A77" s="101"/>
      <c r="B77" s="101"/>
      <c r="C77" s="101"/>
      <c r="K77" s="101"/>
    </row>
    <row r="78" spans="1:11" s="102" customFormat="1">
      <c r="A78" s="101"/>
      <c r="B78" s="101"/>
      <c r="C78" s="101"/>
      <c r="K78" s="101"/>
    </row>
    <row r="79" spans="1:11" s="102" customFormat="1">
      <c r="A79" s="101"/>
      <c r="B79" s="101"/>
      <c r="C79" s="101"/>
      <c r="K79" s="101"/>
    </row>
    <row r="80" spans="1:11" s="102" customFormat="1">
      <c r="A80" s="101"/>
      <c r="B80" s="101"/>
      <c r="C80" s="101"/>
      <c r="K80" s="101"/>
    </row>
    <row r="81" spans="1:11" s="102" customFormat="1">
      <c r="A81" s="101"/>
      <c r="B81" s="101"/>
      <c r="C81" s="101"/>
      <c r="K81" s="101"/>
    </row>
    <row r="82" spans="1:11" s="102" customFormat="1">
      <c r="A82" s="101"/>
      <c r="B82" s="101"/>
      <c r="C82" s="101"/>
      <c r="K82" s="101"/>
    </row>
    <row r="83" spans="1:11" s="102" customFormat="1">
      <c r="A83" s="101"/>
      <c r="B83" s="101"/>
      <c r="C83" s="101"/>
      <c r="K83" s="101"/>
    </row>
    <row r="84" spans="1:11" s="102" customFormat="1">
      <c r="A84" s="101"/>
      <c r="B84" s="101"/>
      <c r="C84" s="101"/>
      <c r="K84" s="101"/>
    </row>
    <row r="85" spans="1:11" s="102" customFormat="1">
      <c r="A85" s="101"/>
      <c r="B85" s="101"/>
      <c r="C85" s="101"/>
      <c r="K85" s="101"/>
    </row>
    <row r="86" spans="1:11" s="102" customFormat="1">
      <c r="A86" s="101"/>
      <c r="B86" s="101"/>
      <c r="C86" s="101"/>
      <c r="K86" s="101"/>
    </row>
    <row r="87" spans="1:11" s="102" customFormat="1">
      <c r="A87" s="101"/>
      <c r="B87" s="101"/>
      <c r="C87" s="101"/>
      <c r="K87" s="101"/>
    </row>
    <row r="88" spans="1:11" s="102" customFormat="1">
      <c r="A88" s="101"/>
      <c r="B88" s="101"/>
      <c r="C88" s="101"/>
      <c r="K88" s="101"/>
    </row>
    <row r="89" spans="1:11" s="102" customFormat="1">
      <c r="A89" s="101"/>
      <c r="B89" s="101"/>
      <c r="C89" s="101"/>
      <c r="K89" s="101"/>
    </row>
    <row r="90" spans="1:11" s="102" customFormat="1">
      <c r="A90" s="101"/>
      <c r="B90" s="101"/>
      <c r="C90" s="101"/>
      <c r="K90" s="101"/>
    </row>
    <row r="91" spans="1:11" s="102" customFormat="1">
      <c r="A91" s="101"/>
      <c r="B91" s="101"/>
      <c r="C91" s="101"/>
      <c r="K91" s="101"/>
    </row>
    <row r="92" spans="1:11" s="102" customFormat="1">
      <c r="A92" s="101"/>
      <c r="B92" s="101"/>
      <c r="C92" s="101"/>
      <c r="K92" s="101"/>
    </row>
    <row r="93" spans="1:11" s="102" customFormat="1">
      <c r="A93" s="101"/>
      <c r="B93" s="101"/>
      <c r="C93" s="101"/>
      <c r="K93" s="101"/>
    </row>
    <row r="94" spans="1:11" s="102" customFormat="1">
      <c r="A94" s="101"/>
      <c r="B94" s="101"/>
      <c r="C94" s="101"/>
      <c r="K94" s="101"/>
    </row>
    <row r="95" spans="1:11" s="102" customFormat="1">
      <c r="A95" s="101"/>
      <c r="B95" s="101"/>
      <c r="C95" s="101"/>
      <c r="K95" s="101"/>
    </row>
    <row r="96" spans="1:11" s="102" customFormat="1">
      <c r="A96" s="101"/>
      <c r="B96" s="101"/>
      <c r="C96" s="101"/>
      <c r="K96" s="101"/>
    </row>
    <row r="97" spans="1:11" s="102" customFormat="1">
      <c r="A97" s="101"/>
      <c r="B97" s="101"/>
      <c r="C97" s="101"/>
      <c r="K97" s="101"/>
    </row>
    <row r="98" spans="1:11" s="102" customFormat="1">
      <c r="A98" s="101"/>
      <c r="B98" s="101"/>
      <c r="C98" s="101"/>
      <c r="K98" s="101"/>
    </row>
    <row r="99" spans="1:11" s="102" customFormat="1">
      <c r="A99" s="101"/>
      <c r="B99" s="101"/>
      <c r="C99" s="101"/>
      <c r="K99" s="101"/>
    </row>
    <row r="100" spans="1:11" s="102" customFormat="1">
      <c r="A100" s="101"/>
      <c r="B100" s="101"/>
      <c r="C100" s="101"/>
      <c r="K100" s="101"/>
    </row>
    <row r="101" spans="1:11" s="102" customFormat="1">
      <c r="A101" s="101"/>
      <c r="B101" s="101"/>
      <c r="C101" s="101"/>
      <c r="K101" s="101"/>
    </row>
    <row r="102" spans="1:11" s="102" customFormat="1">
      <c r="A102" s="101"/>
      <c r="B102" s="101"/>
      <c r="C102" s="101"/>
      <c r="K102" s="101"/>
    </row>
    <row r="103" spans="1:11" s="102" customFormat="1">
      <c r="A103" s="101"/>
      <c r="B103" s="101"/>
      <c r="C103" s="101"/>
      <c r="K103" s="101"/>
    </row>
    <row r="104" spans="1:11" s="102" customFormat="1">
      <c r="A104" s="101"/>
      <c r="B104" s="101"/>
      <c r="C104" s="101"/>
      <c r="K104" s="101"/>
    </row>
    <row r="105" spans="1:11" s="102" customFormat="1">
      <c r="A105" s="101"/>
      <c r="B105" s="101"/>
      <c r="C105" s="101"/>
      <c r="K105" s="101"/>
    </row>
    <row r="106" spans="1:11" s="102" customFormat="1">
      <c r="A106" s="101"/>
      <c r="B106" s="101"/>
      <c r="C106" s="101"/>
      <c r="K106" s="101"/>
    </row>
    <row r="107" spans="1:11" s="102" customFormat="1">
      <c r="A107" s="101"/>
      <c r="B107" s="101"/>
      <c r="C107" s="101"/>
      <c r="K107" s="101"/>
    </row>
    <row r="108" spans="1:11" s="102" customFormat="1">
      <c r="A108" s="101"/>
      <c r="B108" s="101"/>
      <c r="C108" s="101"/>
      <c r="K108" s="101"/>
    </row>
    <row r="109" spans="1:11" s="102" customFormat="1">
      <c r="A109" s="101"/>
      <c r="B109" s="101"/>
      <c r="C109" s="101"/>
      <c r="K109" s="101"/>
    </row>
    <row r="110" spans="1:11" s="102" customFormat="1">
      <c r="A110" s="101"/>
      <c r="B110" s="101"/>
      <c r="C110" s="101"/>
      <c r="K110" s="101"/>
    </row>
    <row r="111" spans="1:11" s="102" customFormat="1">
      <c r="A111" s="101"/>
      <c r="B111" s="101"/>
      <c r="C111" s="101"/>
      <c r="K111" s="101"/>
    </row>
    <row r="112" spans="1:11" s="102" customFormat="1">
      <c r="A112" s="101"/>
      <c r="B112" s="101"/>
      <c r="C112" s="101"/>
      <c r="K112" s="101"/>
    </row>
    <row r="113" spans="1:11" s="102" customFormat="1">
      <c r="A113" s="101"/>
      <c r="B113" s="101"/>
      <c r="C113" s="101"/>
      <c r="K113" s="101"/>
    </row>
    <row r="114" spans="1:11" s="102" customFormat="1">
      <c r="A114" s="101"/>
      <c r="B114" s="101"/>
      <c r="C114" s="101"/>
      <c r="K114" s="101"/>
    </row>
    <row r="115" spans="1:11" s="102" customFormat="1">
      <c r="A115" s="101"/>
      <c r="B115" s="101"/>
      <c r="C115" s="101"/>
      <c r="K115" s="101"/>
    </row>
    <row r="116" spans="1:11" s="102" customFormat="1">
      <c r="A116" s="101"/>
      <c r="B116" s="101"/>
      <c r="C116" s="101"/>
      <c r="K116" s="101"/>
    </row>
    <row r="117" spans="1:11" s="102" customFormat="1">
      <c r="A117" s="101"/>
      <c r="B117" s="101"/>
      <c r="C117" s="101"/>
      <c r="K117" s="101"/>
    </row>
    <row r="118" spans="1:11" s="102" customFormat="1">
      <c r="A118" s="101"/>
      <c r="B118" s="101"/>
      <c r="C118" s="101"/>
      <c r="K118" s="101"/>
    </row>
    <row r="119" spans="1:11" s="102" customFormat="1">
      <c r="A119" s="101"/>
      <c r="B119" s="101"/>
      <c r="C119" s="101"/>
      <c r="K119" s="101"/>
    </row>
    <row r="120" spans="1:11" s="102" customFormat="1">
      <c r="A120" s="101"/>
      <c r="B120" s="101"/>
      <c r="C120" s="101"/>
      <c r="K120" s="101"/>
    </row>
    <row r="121" spans="1:11" s="102" customFormat="1">
      <c r="A121" s="101"/>
      <c r="B121" s="101"/>
      <c r="C121" s="101"/>
      <c r="K121" s="101"/>
    </row>
    <row r="122" spans="1:11" s="102" customFormat="1">
      <c r="A122" s="101"/>
      <c r="B122" s="101"/>
      <c r="C122" s="101"/>
      <c r="K122" s="101"/>
    </row>
    <row r="123" spans="1:11" s="102" customFormat="1">
      <c r="A123" s="101"/>
      <c r="B123" s="101"/>
      <c r="C123" s="101"/>
      <c r="K123" s="101"/>
    </row>
    <row r="124" spans="1:11" s="102" customFormat="1">
      <c r="A124" s="101"/>
      <c r="B124" s="101"/>
      <c r="C124" s="101"/>
      <c r="K124" s="101"/>
    </row>
    <row r="125" spans="1:11" s="102" customFormat="1">
      <c r="A125" s="101"/>
      <c r="B125" s="101"/>
      <c r="C125" s="101"/>
      <c r="K125" s="101"/>
    </row>
    <row r="126" spans="1:11" s="102" customFormat="1">
      <c r="A126" s="101"/>
      <c r="B126" s="101"/>
      <c r="C126" s="101"/>
      <c r="K126" s="101"/>
    </row>
    <row r="127" spans="1:11" s="102" customFormat="1">
      <c r="A127" s="101"/>
      <c r="B127" s="101"/>
      <c r="C127" s="101"/>
      <c r="K127" s="101"/>
    </row>
    <row r="128" spans="1:11" s="102" customFormat="1">
      <c r="A128" s="101"/>
      <c r="B128" s="101"/>
      <c r="C128" s="101"/>
      <c r="K128" s="101"/>
    </row>
    <row r="129" spans="1:11" s="102" customFormat="1">
      <c r="A129" s="101"/>
      <c r="B129" s="101"/>
      <c r="C129" s="101"/>
      <c r="K129" s="101"/>
    </row>
    <row r="130" spans="1:11" s="102" customFormat="1">
      <c r="A130" s="101"/>
      <c r="B130" s="101"/>
      <c r="C130" s="101"/>
      <c r="K130" s="101"/>
    </row>
    <row r="131" spans="1:11" s="102" customFormat="1">
      <c r="A131" s="101"/>
      <c r="B131" s="101"/>
      <c r="C131" s="101"/>
      <c r="K131" s="101"/>
    </row>
    <row r="132" spans="1:11" s="102" customFormat="1">
      <c r="A132" s="101"/>
      <c r="B132" s="101"/>
      <c r="C132" s="101"/>
      <c r="K132" s="101"/>
    </row>
    <row r="133" spans="1:11" s="102" customFormat="1">
      <c r="A133" s="101"/>
      <c r="B133" s="101"/>
      <c r="C133" s="101"/>
      <c r="K133" s="101"/>
    </row>
    <row r="134" spans="1:11" s="102" customFormat="1">
      <c r="A134" s="101"/>
      <c r="B134" s="101"/>
      <c r="C134" s="101"/>
      <c r="K134" s="101"/>
    </row>
    <row r="135" spans="1:11" s="102" customFormat="1">
      <c r="A135" s="101"/>
      <c r="B135" s="101"/>
      <c r="C135" s="101"/>
      <c r="K135" s="101"/>
    </row>
    <row r="136" spans="1:11" s="102" customFormat="1">
      <c r="A136" s="101"/>
      <c r="B136" s="101"/>
      <c r="C136" s="101"/>
      <c r="K136" s="101"/>
    </row>
    <row r="137" spans="1:11" s="102" customFormat="1">
      <c r="A137" s="101"/>
      <c r="B137" s="101"/>
      <c r="C137" s="101"/>
      <c r="K137" s="101"/>
    </row>
    <row r="138" spans="1:11" s="102" customFormat="1">
      <c r="A138" s="101"/>
      <c r="B138" s="101"/>
      <c r="C138" s="101"/>
      <c r="K138" s="101"/>
    </row>
    <row r="139" spans="1:11" s="102" customFormat="1">
      <c r="A139" s="101"/>
      <c r="B139" s="101"/>
      <c r="C139" s="101"/>
      <c r="K139" s="101"/>
    </row>
    <row r="140" spans="1:11" s="102" customFormat="1">
      <c r="A140" s="101"/>
      <c r="B140" s="101"/>
      <c r="C140" s="101"/>
      <c r="K140" s="101"/>
    </row>
    <row r="141" spans="1:11" s="102" customFormat="1">
      <c r="A141" s="101"/>
      <c r="B141" s="101"/>
      <c r="C141" s="101"/>
      <c r="K141" s="101"/>
    </row>
    <row r="142" spans="1:11" s="102" customFormat="1">
      <c r="A142" s="101"/>
      <c r="B142" s="101"/>
      <c r="C142" s="101"/>
      <c r="K142" s="101"/>
    </row>
    <row r="143" spans="1:11" s="102" customFormat="1">
      <c r="A143" s="101"/>
      <c r="B143" s="101"/>
      <c r="C143" s="101"/>
      <c r="K143" s="101"/>
    </row>
    <row r="144" spans="1:11" s="102" customFormat="1">
      <c r="A144" s="101"/>
      <c r="B144" s="101"/>
      <c r="C144" s="101"/>
      <c r="K144" s="101"/>
    </row>
    <row r="145" spans="1:11" s="102" customFormat="1">
      <c r="A145" s="101"/>
      <c r="B145" s="101"/>
      <c r="C145" s="101"/>
      <c r="K145" s="101"/>
    </row>
    <row r="146" spans="1:11" s="102" customFormat="1">
      <c r="A146" s="101"/>
      <c r="B146" s="101"/>
      <c r="C146" s="101"/>
      <c r="K146" s="101"/>
    </row>
    <row r="147" spans="1:11" s="102" customFormat="1">
      <c r="A147" s="101"/>
      <c r="B147" s="101"/>
      <c r="C147" s="101"/>
      <c r="K147" s="101"/>
    </row>
    <row r="148" spans="1:11" s="102" customFormat="1">
      <c r="A148" s="101"/>
      <c r="B148" s="101"/>
      <c r="C148" s="101"/>
      <c r="K148" s="101"/>
    </row>
    <row r="149" spans="1:11" s="102" customFormat="1">
      <c r="A149" s="101"/>
      <c r="B149" s="101"/>
      <c r="C149" s="101"/>
      <c r="K149" s="101"/>
    </row>
    <row r="150" spans="1:11" s="102" customFormat="1">
      <c r="A150" s="101"/>
      <c r="B150" s="101"/>
      <c r="C150" s="101"/>
      <c r="K150" s="101"/>
    </row>
    <row r="151" spans="1:11" s="102" customFormat="1">
      <c r="A151" s="101"/>
      <c r="B151" s="101"/>
      <c r="C151" s="101"/>
      <c r="K151" s="101"/>
    </row>
    <row r="152" spans="1:11" s="102" customFormat="1">
      <c r="A152" s="101"/>
      <c r="B152" s="101"/>
      <c r="C152" s="101"/>
      <c r="K152" s="101"/>
    </row>
    <row r="153" spans="1:11" s="102" customFormat="1">
      <c r="A153" s="101"/>
      <c r="B153" s="101"/>
      <c r="C153" s="101"/>
      <c r="K153" s="101"/>
    </row>
    <row r="154" spans="1:11" s="102" customFormat="1">
      <c r="A154" s="101"/>
      <c r="B154" s="101"/>
      <c r="C154" s="101"/>
      <c r="K154" s="101"/>
    </row>
    <row r="155" spans="1:11" s="102" customFormat="1">
      <c r="A155" s="101"/>
      <c r="B155" s="101"/>
      <c r="C155" s="101"/>
      <c r="K155" s="101"/>
    </row>
    <row r="156" spans="1:11" s="102" customFormat="1">
      <c r="A156" s="101"/>
      <c r="B156" s="101"/>
      <c r="C156" s="101"/>
      <c r="K156" s="101"/>
    </row>
    <row r="157" spans="1:11" s="102" customFormat="1">
      <c r="A157" s="101"/>
      <c r="B157" s="101"/>
      <c r="C157" s="101"/>
      <c r="K157" s="101"/>
    </row>
    <row r="158" spans="1:11" s="102" customFormat="1">
      <c r="A158" s="101"/>
      <c r="B158" s="101"/>
      <c r="C158" s="101"/>
      <c r="K158" s="101"/>
    </row>
    <row r="159" spans="1:11" s="102" customFormat="1">
      <c r="A159" s="101"/>
      <c r="B159" s="101"/>
      <c r="C159" s="101"/>
      <c r="K159" s="101"/>
    </row>
    <row r="160" spans="1:11" s="102" customFormat="1">
      <c r="A160" s="101"/>
      <c r="B160" s="101"/>
      <c r="C160" s="101"/>
      <c r="K160" s="101"/>
    </row>
    <row r="161" spans="1:11" s="102" customFormat="1">
      <c r="A161" s="101"/>
      <c r="B161" s="101"/>
      <c r="C161" s="101"/>
      <c r="K161" s="101"/>
    </row>
    <row r="162" spans="1:11" s="102" customFormat="1">
      <c r="A162" s="101"/>
      <c r="B162" s="101"/>
      <c r="C162" s="101"/>
      <c r="K162" s="101"/>
    </row>
    <row r="163" spans="1:11" s="102" customFormat="1">
      <c r="A163" s="101"/>
      <c r="B163" s="101"/>
      <c r="C163" s="101"/>
      <c r="K163" s="101"/>
    </row>
    <row r="164" spans="1:11" s="102" customFormat="1">
      <c r="A164" s="101"/>
      <c r="B164" s="101"/>
      <c r="C164" s="101"/>
      <c r="K164" s="101"/>
    </row>
    <row r="165" spans="1:11" s="102" customFormat="1">
      <c r="A165" s="101"/>
      <c r="B165" s="101"/>
      <c r="C165" s="101"/>
      <c r="K165" s="101"/>
    </row>
    <row r="166" spans="1:11" s="102" customFormat="1">
      <c r="A166" s="101"/>
      <c r="B166" s="101"/>
      <c r="C166" s="101"/>
      <c r="K166" s="101"/>
    </row>
    <row r="167" spans="1:11" s="102" customFormat="1">
      <c r="A167" s="101"/>
      <c r="B167" s="101"/>
      <c r="C167" s="101"/>
      <c r="K167" s="101"/>
    </row>
    <row r="168" spans="1:11" s="102" customFormat="1">
      <c r="A168" s="101"/>
      <c r="B168" s="101"/>
      <c r="C168" s="101"/>
      <c r="K168" s="101"/>
    </row>
    <row r="169" spans="1:11" s="102" customFormat="1">
      <c r="A169" s="101"/>
      <c r="B169" s="101"/>
      <c r="C169" s="101"/>
      <c r="K169" s="101"/>
    </row>
    <row r="170" spans="1:11" s="102" customFormat="1">
      <c r="A170" s="101"/>
      <c r="B170" s="101"/>
      <c r="C170" s="101"/>
      <c r="K170" s="101"/>
    </row>
    <row r="171" spans="1:11" s="102" customFormat="1">
      <c r="A171" s="101"/>
      <c r="B171" s="101"/>
      <c r="C171" s="101"/>
      <c r="K171" s="101"/>
    </row>
    <row r="172" spans="1:11" s="102" customFormat="1">
      <c r="A172" s="101"/>
      <c r="B172" s="101"/>
      <c r="C172" s="101"/>
      <c r="K172" s="101"/>
    </row>
    <row r="173" spans="1:11" s="102" customFormat="1">
      <c r="A173" s="101"/>
      <c r="B173" s="101"/>
      <c r="C173" s="101"/>
      <c r="K173" s="101"/>
    </row>
    <row r="174" spans="1:11" s="102" customFormat="1">
      <c r="A174" s="101"/>
      <c r="B174" s="101"/>
      <c r="C174" s="101"/>
      <c r="K174" s="101"/>
    </row>
    <row r="175" spans="1:11" s="102" customFormat="1">
      <c r="A175" s="101"/>
      <c r="B175" s="101"/>
      <c r="C175" s="101"/>
      <c r="K175" s="101"/>
    </row>
    <row r="176" spans="1:11" s="102" customFormat="1">
      <c r="A176" s="101"/>
      <c r="B176" s="101"/>
      <c r="C176" s="101"/>
      <c r="K176" s="101"/>
    </row>
    <row r="177" spans="1:11" s="102" customFormat="1">
      <c r="A177" s="101"/>
      <c r="B177" s="101"/>
      <c r="C177" s="101"/>
      <c r="K177" s="101"/>
    </row>
    <row r="178" spans="1:11" s="102" customFormat="1">
      <c r="A178" s="101"/>
      <c r="B178" s="101"/>
      <c r="C178" s="101"/>
      <c r="K178" s="101"/>
    </row>
    <row r="179" spans="1:11" s="102" customFormat="1">
      <c r="A179" s="101"/>
      <c r="B179" s="101"/>
      <c r="C179" s="101"/>
      <c r="K179" s="101"/>
    </row>
    <row r="180" spans="1:11" s="102" customFormat="1">
      <c r="A180" s="101"/>
      <c r="B180" s="101"/>
      <c r="C180" s="101"/>
      <c r="K180" s="101"/>
    </row>
    <row r="181" spans="1:11" s="102" customFormat="1">
      <c r="A181" s="101"/>
      <c r="B181" s="101"/>
      <c r="C181" s="101"/>
      <c r="K181" s="101"/>
    </row>
    <row r="182" spans="1:11" s="102" customFormat="1">
      <c r="A182" s="101"/>
      <c r="B182" s="101"/>
      <c r="C182" s="101"/>
      <c r="K182" s="101"/>
    </row>
    <row r="183" spans="1:11" s="102" customFormat="1">
      <c r="A183" s="101"/>
      <c r="B183" s="101"/>
      <c r="C183" s="101"/>
      <c r="K183" s="101"/>
    </row>
    <row r="184" spans="1:11" s="102" customFormat="1">
      <c r="A184" s="101"/>
      <c r="B184" s="101"/>
      <c r="C184" s="101"/>
      <c r="K184" s="101"/>
    </row>
    <row r="185" spans="1:11" s="102" customFormat="1">
      <c r="A185" s="101"/>
      <c r="B185" s="101"/>
      <c r="C185" s="101"/>
      <c r="K185" s="101"/>
    </row>
    <row r="186" spans="1:11" s="102" customFormat="1">
      <c r="A186" s="101"/>
      <c r="B186" s="101"/>
      <c r="C186" s="101"/>
      <c r="K186" s="101"/>
    </row>
    <row r="187" spans="1:11" s="102" customFormat="1">
      <c r="A187" s="101"/>
      <c r="B187" s="101"/>
      <c r="C187" s="101"/>
      <c r="K187" s="101"/>
    </row>
    <row r="188" spans="1:11" s="102" customFormat="1">
      <c r="A188" s="101"/>
      <c r="B188" s="101"/>
      <c r="C188" s="101"/>
      <c r="K188" s="101"/>
    </row>
    <row r="189" spans="1:11" s="102" customFormat="1">
      <c r="A189" s="101"/>
      <c r="B189" s="101"/>
      <c r="C189" s="101"/>
      <c r="K189" s="101"/>
    </row>
    <row r="190" spans="1:11" s="102" customFormat="1">
      <c r="A190" s="101"/>
      <c r="B190" s="101"/>
      <c r="C190" s="101"/>
      <c r="K190" s="101"/>
    </row>
    <row r="191" spans="1:11" s="102" customFormat="1">
      <c r="A191" s="101"/>
      <c r="B191" s="101"/>
      <c r="C191" s="101"/>
      <c r="K191" s="101"/>
    </row>
    <row r="192" spans="1:11" s="102" customFormat="1">
      <c r="A192" s="101"/>
      <c r="B192" s="101"/>
      <c r="C192" s="101"/>
      <c r="K192" s="101"/>
    </row>
    <row r="193" spans="1:11" s="102" customFormat="1">
      <c r="A193" s="101"/>
      <c r="B193" s="101"/>
      <c r="C193" s="101"/>
      <c r="K193" s="101"/>
    </row>
    <row r="194" spans="1:11" s="102" customFormat="1">
      <c r="A194" s="101"/>
      <c r="B194" s="101"/>
      <c r="C194" s="101"/>
      <c r="K194" s="101"/>
    </row>
    <row r="195" spans="1:11" s="102" customFormat="1">
      <c r="A195" s="101"/>
      <c r="B195" s="101"/>
      <c r="C195" s="101"/>
      <c r="K195" s="101"/>
    </row>
    <row r="196" spans="1:11" s="102" customFormat="1">
      <c r="A196" s="101"/>
      <c r="B196" s="101"/>
      <c r="C196" s="101"/>
      <c r="K196" s="101"/>
    </row>
    <row r="197" spans="1:11" s="102" customFormat="1">
      <c r="A197" s="101"/>
      <c r="B197" s="101"/>
      <c r="C197" s="101"/>
      <c r="K197" s="101"/>
    </row>
    <row r="198" spans="1:11" s="102" customFormat="1">
      <c r="A198" s="101"/>
      <c r="B198" s="101"/>
      <c r="C198" s="101"/>
      <c r="K198" s="101"/>
    </row>
    <row r="199" spans="1:11" s="102" customFormat="1">
      <c r="A199" s="101"/>
      <c r="B199" s="101"/>
      <c r="C199" s="101"/>
      <c r="K199" s="101"/>
    </row>
    <row r="200" spans="1:11" s="102" customFormat="1">
      <c r="A200" s="101"/>
      <c r="B200" s="101"/>
      <c r="C200" s="101"/>
      <c r="K200" s="101"/>
    </row>
    <row r="201" spans="1:11" s="102" customFormat="1">
      <c r="A201" s="101"/>
      <c r="B201" s="101"/>
      <c r="C201" s="101"/>
      <c r="K201" s="101"/>
    </row>
    <row r="202" spans="1:11" s="102" customFormat="1">
      <c r="A202" s="101"/>
      <c r="B202" s="101"/>
      <c r="C202" s="101"/>
      <c r="K202" s="101"/>
    </row>
    <row r="203" spans="1:11" s="102" customFormat="1">
      <c r="A203" s="101"/>
      <c r="B203" s="101"/>
      <c r="C203" s="101"/>
      <c r="K203" s="101"/>
    </row>
    <row r="204" spans="1:11" s="102" customFormat="1">
      <c r="A204" s="101"/>
      <c r="B204" s="101"/>
      <c r="C204" s="101"/>
      <c r="K204" s="101"/>
    </row>
    <row r="205" spans="1:11" s="102" customFormat="1">
      <c r="A205" s="101"/>
      <c r="B205" s="101"/>
      <c r="C205" s="101"/>
      <c r="K205" s="101"/>
    </row>
    <row r="206" spans="1:11" s="102" customFormat="1">
      <c r="A206" s="101"/>
      <c r="B206" s="101"/>
      <c r="C206" s="101"/>
      <c r="K206" s="101"/>
    </row>
    <row r="207" spans="1:11" s="102" customFormat="1">
      <c r="A207" s="101"/>
      <c r="B207" s="101"/>
      <c r="C207" s="101"/>
      <c r="K207" s="101"/>
    </row>
    <row r="208" spans="1:11" s="102" customFormat="1">
      <c r="A208" s="101"/>
      <c r="B208" s="101"/>
      <c r="C208" s="101"/>
      <c r="K208" s="101"/>
    </row>
    <row r="209" spans="1:11" s="102" customFormat="1">
      <c r="A209" s="101"/>
      <c r="B209" s="101"/>
      <c r="C209" s="101"/>
      <c r="K209" s="101"/>
    </row>
    <row r="210" spans="1:11" s="102" customFormat="1">
      <c r="A210" s="101"/>
      <c r="B210" s="101"/>
      <c r="C210" s="101"/>
      <c r="K210" s="101"/>
    </row>
    <row r="211" spans="1:11" s="102" customFormat="1">
      <c r="A211" s="101"/>
      <c r="B211" s="101"/>
      <c r="C211" s="101"/>
      <c r="K211" s="101"/>
    </row>
    <row r="212" spans="1:11" s="102" customFormat="1">
      <c r="A212" s="101"/>
      <c r="B212" s="101"/>
      <c r="C212" s="101"/>
      <c r="K212" s="101"/>
    </row>
    <row r="213" spans="1:11" s="102" customFormat="1">
      <c r="A213" s="101"/>
      <c r="B213" s="101"/>
      <c r="C213" s="101"/>
      <c r="K213" s="101"/>
    </row>
    <row r="214" spans="1:11" s="102" customFormat="1">
      <c r="A214" s="101"/>
      <c r="B214" s="101"/>
      <c r="C214" s="101"/>
      <c r="K214" s="101"/>
    </row>
    <row r="215" spans="1:11" s="102" customFormat="1">
      <c r="A215" s="101"/>
      <c r="B215" s="101"/>
      <c r="C215" s="101"/>
      <c r="K215" s="101"/>
    </row>
    <row r="216" spans="1:11" s="102" customFormat="1">
      <c r="A216" s="101"/>
      <c r="B216" s="101"/>
      <c r="C216" s="101"/>
      <c r="K216" s="101"/>
    </row>
    <row r="217" spans="1:11" s="102" customFormat="1">
      <c r="A217" s="101"/>
      <c r="B217" s="101"/>
      <c r="C217" s="101"/>
      <c r="K217" s="101"/>
    </row>
    <row r="218" spans="1:11" s="102" customFormat="1">
      <c r="A218" s="101"/>
      <c r="B218" s="101"/>
      <c r="C218" s="101"/>
      <c r="K218" s="101"/>
    </row>
    <row r="219" spans="1:11" s="102" customFormat="1">
      <c r="A219" s="101"/>
      <c r="B219" s="101"/>
      <c r="C219" s="101"/>
      <c r="K219" s="101"/>
    </row>
    <row r="220" spans="1:11" s="102" customFormat="1">
      <c r="A220" s="101"/>
      <c r="B220" s="101"/>
      <c r="C220" s="101"/>
      <c r="K220" s="101"/>
    </row>
    <row r="221" spans="1:11" s="102" customFormat="1">
      <c r="A221" s="101"/>
      <c r="B221" s="101"/>
      <c r="C221" s="101"/>
      <c r="K221" s="101"/>
    </row>
    <row r="222" spans="1:11" s="102" customFormat="1">
      <c r="A222" s="101"/>
      <c r="B222" s="101"/>
      <c r="C222" s="101"/>
      <c r="K222" s="101"/>
    </row>
    <row r="223" spans="1:11" s="102" customFormat="1">
      <c r="A223" s="101"/>
      <c r="B223" s="101"/>
      <c r="C223" s="101"/>
      <c r="K223" s="101"/>
    </row>
    <row r="224" spans="1:11" s="102" customFormat="1">
      <c r="A224" s="101"/>
      <c r="B224" s="101"/>
      <c r="C224" s="101"/>
      <c r="K224" s="101"/>
    </row>
    <row r="225" spans="1:11" s="102" customFormat="1">
      <c r="A225" s="101"/>
      <c r="B225" s="101"/>
      <c r="C225" s="101"/>
      <c r="K225" s="101"/>
    </row>
    <row r="226" spans="1:11" s="102" customFormat="1">
      <c r="A226" s="101"/>
      <c r="B226" s="101"/>
      <c r="C226" s="101"/>
      <c r="K226" s="101"/>
    </row>
    <row r="227" spans="1:11" s="102" customFormat="1">
      <c r="A227" s="101"/>
      <c r="B227" s="101"/>
      <c r="C227" s="101"/>
      <c r="K227" s="101"/>
    </row>
    <row r="228" spans="1:11" s="102" customFormat="1">
      <c r="A228" s="101"/>
      <c r="B228" s="101"/>
      <c r="C228" s="101"/>
      <c r="K228" s="101"/>
    </row>
    <row r="229" spans="1:11" s="102" customFormat="1">
      <c r="A229" s="101"/>
      <c r="B229" s="101"/>
      <c r="C229" s="101"/>
      <c r="K229" s="101"/>
    </row>
    <row r="230" spans="1:11" s="102" customFormat="1">
      <c r="A230" s="101"/>
      <c r="B230" s="101"/>
      <c r="C230" s="101"/>
      <c r="K230" s="101"/>
    </row>
    <row r="231" spans="1:11" s="102" customFormat="1">
      <c r="A231" s="101"/>
      <c r="B231" s="101"/>
      <c r="C231" s="101"/>
      <c r="K231" s="101"/>
    </row>
    <row r="232" spans="1:11" s="102" customFormat="1">
      <c r="A232" s="101"/>
      <c r="B232" s="101"/>
      <c r="C232" s="101"/>
      <c r="K232" s="101"/>
    </row>
    <row r="233" spans="1:11" s="102" customFormat="1">
      <c r="A233" s="101"/>
      <c r="B233" s="101"/>
      <c r="C233" s="101"/>
      <c r="K233" s="101"/>
    </row>
    <row r="234" spans="1:11" s="102" customFormat="1">
      <c r="A234" s="101"/>
      <c r="B234" s="101"/>
      <c r="C234" s="101"/>
      <c r="K234" s="101"/>
    </row>
    <row r="235" spans="1:11" s="102" customFormat="1">
      <c r="A235" s="101"/>
      <c r="B235" s="101"/>
      <c r="C235" s="101"/>
      <c r="K235" s="101"/>
    </row>
    <row r="236" spans="1:11" s="102" customFormat="1">
      <c r="A236" s="101"/>
      <c r="B236" s="101"/>
      <c r="C236" s="101"/>
      <c r="K236" s="101"/>
    </row>
    <row r="237" spans="1:11" s="102" customFormat="1">
      <c r="A237" s="101"/>
      <c r="B237" s="101"/>
      <c r="C237" s="101"/>
      <c r="K237" s="101"/>
    </row>
    <row r="238" spans="1:11" s="102" customFormat="1">
      <c r="A238" s="101"/>
      <c r="B238" s="101"/>
      <c r="C238" s="101"/>
      <c r="K238" s="101"/>
    </row>
    <row r="239" spans="1:11" s="102" customFormat="1">
      <c r="A239" s="101"/>
      <c r="B239" s="101"/>
      <c r="C239" s="101"/>
      <c r="K239" s="101"/>
    </row>
    <row r="240" spans="1:11" s="102" customFormat="1">
      <c r="A240" s="101"/>
      <c r="B240" s="101"/>
      <c r="C240" s="101"/>
      <c r="K240" s="101"/>
    </row>
    <row r="241" spans="1:11" s="102" customFormat="1">
      <c r="A241" s="101"/>
      <c r="B241" s="101"/>
      <c r="C241" s="101"/>
      <c r="K241" s="101"/>
    </row>
    <row r="242" spans="1:11" s="102" customFormat="1">
      <c r="A242" s="101"/>
      <c r="B242" s="101"/>
      <c r="C242" s="101"/>
      <c r="K242" s="101"/>
    </row>
    <row r="243" spans="1:11" s="102" customFormat="1">
      <c r="A243" s="101"/>
      <c r="B243" s="101"/>
      <c r="C243" s="101"/>
      <c r="K243" s="101"/>
    </row>
    <row r="244" spans="1:11" s="102" customFormat="1">
      <c r="A244" s="101"/>
      <c r="B244" s="101"/>
      <c r="C244" s="101"/>
      <c r="K244" s="101"/>
    </row>
    <row r="245" spans="1:11" s="102" customFormat="1">
      <c r="A245" s="101"/>
      <c r="B245" s="101"/>
      <c r="C245" s="101"/>
      <c r="K245" s="101"/>
    </row>
    <row r="246" spans="1:11" s="102" customFormat="1">
      <c r="A246" s="101"/>
      <c r="B246" s="101"/>
      <c r="C246" s="101"/>
      <c r="K246" s="101"/>
    </row>
    <row r="247" spans="1:11" s="102" customFormat="1">
      <c r="A247" s="101"/>
      <c r="B247" s="101"/>
      <c r="C247" s="101"/>
      <c r="K247" s="101"/>
    </row>
    <row r="248" spans="1:11" s="102" customFormat="1">
      <c r="A248" s="101"/>
      <c r="B248" s="101"/>
      <c r="C248" s="101"/>
      <c r="K248" s="101"/>
    </row>
    <row r="249" spans="1:11" s="102" customFormat="1">
      <c r="A249" s="101"/>
      <c r="B249" s="101"/>
      <c r="C249" s="101"/>
      <c r="K249" s="101"/>
    </row>
    <row r="250" spans="1:11" s="102" customFormat="1">
      <c r="A250" s="101"/>
      <c r="B250" s="101"/>
      <c r="C250" s="101"/>
      <c r="K250" s="101"/>
    </row>
    <row r="251" spans="1:11" s="102" customFormat="1">
      <c r="A251" s="101"/>
      <c r="B251" s="101"/>
      <c r="C251" s="101"/>
      <c r="K251" s="101"/>
    </row>
    <row r="252" spans="1:11" s="102" customFormat="1">
      <c r="A252" s="101"/>
      <c r="B252" s="101"/>
      <c r="C252" s="101"/>
      <c r="K252" s="101"/>
    </row>
    <row r="253" spans="1:11" s="102" customFormat="1">
      <c r="A253" s="101"/>
      <c r="B253" s="101"/>
      <c r="C253" s="101"/>
      <c r="K253" s="101"/>
    </row>
    <row r="254" spans="1:11" s="102" customFormat="1">
      <c r="A254" s="101"/>
      <c r="B254" s="101"/>
      <c r="C254" s="101"/>
      <c r="K254" s="101"/>
    </row>
    <row r="255" spans="1:11" s="102" customFormat="1">
      <c r="A255" s="101"/>
      <c r="B255" s="101"/>
      <c r="C255" s="101"/>
      <c r="K255" s="101"/>
    </row>
    <row r="256" spans="1:11" s="102" customFormat="1">
      <c r="A256" s="101"/>
      <c r="B256" s="101"/>
      <c r="C256" s="101"/>
      <c r="K256" s="101"/>
    </row>
    <row r="257" spans="1:11" s="102" customFormat="1">
      <c r="A257" s="101"/>
      <c r="B257" s="101"/>
      <c r="C257" s="101"/>
      <c r="K257" s="101"/>
    </row>
    <row r="258" spans="1:11" s="102" customFormat="1">
      <c r="A258" s="101"/>
      <c r="B258" s="101"/>
      <c r="C258" s="101"/>
      <c r="K258" s="101"/>
    </row>
    <row r="259" spans="1:11" s="102" customFormat="1">
      <c r="A259" s="101"/>
      <c r="B259" s="101"/>
      <c r="C259" s="101"/>
      <c r="K259" s="101"/>
    </row>
    <row r="260" spans="1:11" s="102" customFormat="1">
      <c r="A260" s="101"/>
      <c r="B260" s="101"/>
      <c r="C260" s="101"/>
      <c r="K260" s="101"/>
    </row>
    <row r="261" spans="1:11" s="102" customFormat="1">
      <c r="A261" s="101"/>
      <c r="B261" s="101"/>
      <c r="C261" s="101"/>
      <c r="K261" s="101"/>
    </row>
    <row r="262" spans="1:11" s="102" customFormat="1">
      <c r="A262" s="101"/>
      <c r="B262" s="101"/>
      <c r="C262" s="101"/>
      <c r="K262" s="101"/>
    </row>
    <row r="263" spans="1:11" s="102" customFormat="1">
      <c r="A263" s="101"/>
      <c r="B263" s="101"/>
      <c r="C263" s="101"/>
      <c r="K263" s="101"/>
    </row>
    <row r="264" spans="1:11" s="102" customFormat="1">
      <c r="A264" s="101"/>
      <c r="B264" s="101"/>
      <c r="C264" s="101"/>
      <c r="K264" s="101"/>
    </row>
    <row r="265" spans="1:11" s="102" customFormat="1">
      <c r="A265" s="101"/>
      <c r="B265" s="101"/>
      <c r="C265" s="101"/>
      <c r="K265" s="101"/>
    </row>
    <row r="266" spans="1:11" s="102" customFormat="1">
      <c r="A266" s="101"/>
      <c r="B266" s="101"/>
      <c r="C266" s="101"/>
      <c r="K266" s="101"/>
    </row>
    <row r="267" spans="1:11" s="102" customFormat="1">
      <c r="A267" s="101"/>
      <c r="B267" s="101"/>
      <c r="C267" s="101"/>
      <c r="K267" s="101"/>
    </row>
    <row r="268" spans="1:11" s="102" customFormat="1">
      <c r="A268" s="101"/>
      <c r="B268" s="101"/>
      <c r="C268" s="101"/>
      <c r="K268" s="101"/>
    </row>
    <row r="269" spans="1:11" s="102" customFormat="1">
      <c r="A269" s="101"/>
      <c r="B269" s="101"/>
      <c r="C269" s="101"/>
      <c r="K269" s="101"/>
    </row>
    <row r="270" spans="1:11" s="102" customFormat="1">
      <c r="A270" s="101"/>
      <c r="B270" s="101"/>
      <c r="C270" s="101"/>
      <c r="K270" s="101"/>
    </row>
    <row r="271" spans="1:11" s="102" customFormat="1">
      <c r="A271" s="101"/>
      <c r="B271" s="101"/>
      <c r="C271" s="101"/>
      <c r="K271" s="101"/>
    </row>
    <row r="272" spans="1:11" s="102" customFormat="1">
      <c r="A272" s="101"/>
      <c r="B272" s="101"/>
      <c r="C272" s="101"/>
      <c r="K272" s="101"/>
    </row>
    <row r="273" spans="1:11" s="102" customFormat="1">
      <c r="A273" s="101"/>
      <c r="B273" s="101"/>
      <c r="C273" s="101"/>
      <c r="K273" s="101"/>
    </row>
    <row r="274" spans="1:11" s="102" customFormat="1">
      <c r="A274" s="101"/>
      <c r="B274" s="101"/>
      <c r="C274" s="101"/>
      <c r="K274" s="101"/>
    </row>
    <row r="275" spans="1:11" s="102" customFormat="1">
      <c r="A275" s="101"/>
      <c r="B275" s="101"/>
      <c r="C275" s="101"/>
      <c r="K275" s="101"/>
    </row>
    <row r="276" spans="1:11" s="102" customFormat="1">
      <c r="A276" s="101"/>
      <c r="B276" s="101"/>
      <c r="C276" s="101"/>
      <c r="K276" s="101"/>
    </row>
    <row r="277" spans="1:11" s="102" customFormat="1">
      <c r="A277" s="101"/>
      <c r="B277" s="101"/>
      <c r="C277" s="101"/>
      <c r="K277" s="101"/>
    </row>
    <row r="278" spans="1:11" s="102" customFormat="1">
      <c r="A278" s="101"/>
      <c r="B278" s="101"/>
      <c r="C278" s="101"/>
      <c r="K278" s="101"/>
    </row>
    <row r="279" spans="1:11" s="102" customFormat="1">
      <c r="A279" s="101"/>
      <c r="B279" s="101"/>
      <c r="C279" s="101"/>
      <c r="K279" s="101"/>
    </row>
    <row r="280" spans="1:11" s="102" customFormat="1">
      <c r="A280" s="101"/>
      <c r="B280" s="101"/>
      <c r="C280" s="101"/>
      <c r="K280" s="101"/>
    </row>
    <row r="281" spans="1:11" s="102" customFormat="1">
      <c r="A281" s="101"/>
      <c r="B281" s="101"/>
      <c r="C281" s="101"/>
      <c r="K281" s="101"/>
    </row>
    <row r="282" spans="1:11" s="102" customFormat="1">
      <c r="A282" s="101"/>
      <c r="B282" s="101"/>
      <c r="C282" s="101"/>
      <c r="K282" s="101"/>
    </row>
    <row r="283" spans="1:11" s="102" customFormat="1">
      <c r="A283" s="101"/>
      <c r="B283" s="101"/>
      <c r="C283" s="101"/>
      <c r="K283" s="101"/>
    </row>
    <row r="284" spans="1:11" s="102" customFormat="1">
      <c r="A284" s="101"/>
      <c r="B284" s="101"/>
      <c r="C284" s="101"/>
      <c r="K284" s="101"/>
    </row>
    <row r="285" spans="1:11" s="102" customFormat="1">
      <c r="A285" s="101"/>
      <c r="B285" s="101"/>
      <c r="C285" s="101"/>
      <c r="K285" s="101"/>
    </row>
    <row r="286" spans="1:11" s="102" customFormat="1">
      <c r="A286" s="101"/>
      <c r="B286" s="101"/>
      <c r="C286" s="101"/>
      <c r="K286" s="101"/>
    </row>
    <row r="287" spans="1:11" s="102" customFormat="1">
      <c r="A287" s="101"/>
      <c r="B287" s="101"/>
      <c r="C287" s="101"/>
      <c r="K287" s="101"/>
    </row>
    <row r="288" spans="1:11" s="102" customFormat="1">
      <c r="A288" s="101"/>
      <c r="B288" s="101"/>
      <c r="C288" s="101"/>
      <c r="K288" s="101"/>
    </row>
    <row r="289" spans="1:11" s="102" customFormat="1">
      <c r="A289" s="101"/>
      <c r="B289" s="101"/>
      <c r="C289" s="101"/>
      <c r="K289" s="101"/>
    </row>
    <row r="290" spans="1:11" s="102" customFormat="1">
      <c r="A290" s="101"/>
      <c r="B290" s="101"/>
      <c r="C290" s="101"/>
      <c r="K290" s="101"/>
    </row>
    <row r="291" spans="1:11" s="102" customFormat="1">
      <c r="A291" s="101"/>
      <c r="B291" s="101"/>
      <c r="C291" s="101"/>
      <c r="K291" s="101"/>
    </row>
    <row r="292" spans="1:11" s="102" customFormat="1">
      <c r="A292" s="101"/>
      <c r="B292" s="101"/>
      <c r="C292" s="101"/>
      <c r="K292" s="101"/>
    </row>
    <row r="293" spans="1:11" s="102" customFormat="1">
      <c r="A293" s="101"/>
      <c r="B293" s="101"/>
      <c r="C293" s="101"/>
      <c r="K293" s="101"/>
    </row>
    <row r="294" spans="1:11" s="102" customFormat="1">
      <c r="A294" s="101"/>
      <c r="B294" s="101"/>
      <c r="C294" s="101"/>
      <c r="K294" s="101"/>
    </row>
    <row r="295" spans="1:11" s="102" customFormat="1">
      <c r="A295" s="101"/>
      <c r="B295" s="101"/>
      <c r="C295" s="101"/>
      <c r="K295" s="101"/>
    </row>
    <row r="296" spans="1:11" s="102" customFormat="1">
      <c r="A296" s="101"/>
      <c r="B296" s="101"/>
      <c r="C296" s="101"/>
      <c r="K296" s="101"/>
    </row>
    <row r="297" spans="1:11" s="102" customFormat="1">
      <c r="A297" s="101"/>
      <c r="B297" s="101"/>
      <c r="C297" s="101"/>
      <c r="K297" s="101"/>
    </row>
    <row r="298" spans="1:11" s="102" customFormat="1">
      <c r="A298" s="101"/>
      <c r="B298" s="101"/>
      <c r="C298" s="101"/>
      <c r="K298" s="101"/>
    </row>
    <row r="299" spans="1:11" s="102" customFormat="1">
      <c r="A299" s="101"/>
      <c r="B299" s="101"/>
      <c r="C299" s="101"/>
      <c r="K299" s="101"/>
    </row>
    <row r="300" spans="1:11" s="102" customFormat="1">
      <c r="A300" s="101"/>
      <c r="B300" s="101"/>
      <c r="C300" s="101"/>
      <c r="K300" s="101"/>
    </row>
    <row r="301" spans="1:11" s="102" customFormat="1">
      <c r="A301" s="101"/>
      <c r="B301" s="101"/>
      <c r="C301" s="101"/>
      <c r="K301" s="101"/>
    </row>
    <row r="302" spans="1:11" s="102" customFormat="1">
      <c r="A302" s="101"/>
      <c r="B302" s="101"/>
      <c r="C302" s="101"/>
      <c r="K302" s="101"/>
    </row>
    <row r="303" spans="1:11" s="102" customFormat="1">
      <c r="A303" s="101"/>
      <c r="B303" s="101"/>
      <c r="C303" s="101"/>
      <c r="K303" s="101"/>
    </row>
    <row r="304" spans="1:11" s="102" customFormat="1">
      <c r="A304" s="101"/>
      <c r="B304" s="101"/>
      <c r="C304" s="101"/>
      <c r="K304" s="101"/>
    </row>
    <row r="305" spans="1:11" s="102" customFormat="1">
      <c r="A305" s="101"/>
      <c r="B305" s="101"/>
      <c r="C305" s="101"/>
      <c r="K305" s="101"/>
    </row>
    <row r="306" spans="1:11" s="102" customFormat="1">
      <c r="A306" s="101"/>
      <c r="B306" s="101"/>
      <c r="C306" s="101"/>
      <c r="K306" s="101"/>
    </row>
    <row r="307" spans="1:11" s="102" customFormat="1">
      <c r="A307" s="101"/>
      <c r="B307" s="101"/>
      <c r="C307" s="101"/>
      <c r="K307" s="101"/>
    </row>
    <row r="308" spans="1:11" s="102" customFormat="1">
      <c r="A308" s="101"/>
      <c r="B308" s="101"/>
      <c r="C308" s="101"/>
      <c r="K308" s="101"/>
    </row>
    <row r="309" spans="1:11" s="102" customFormat="1">
      <c r="A309" s="101"/>
      <c r="B309" s="101"/>
      <c r="C309" s="101"/>
      <c r="K309" s="101"/>
    </row>
    <row r="310" spans="1:11" s="102" customFormat="1">
      <c r="A310" s="101"/>
      <c r="B310" s="101"/>
      <c r="C310" s="101"/>
      <c r="K310" s="101"/>
    </row>
    <row r="311" spans="1:11" s="102" customFormat="1">
      <c r="A311" s="101"/>
      <c r="B311" s="101"/>
      <c r="C311" s="101"/>
      <c r="K311" s="101"/>
    </row>
    <row r="312" spans="1:11" s="102" customFormat="1">
      <c r="A312" s="101"/>
      <c r="B312" s="101"/>
      <c r="C312" s="101"/>
      <c r="K312" s="101"/>
    </row>
    <row r="313" spans="1:11" s="102" customFormat="1">
      <c r="A313" s="101"/>
      <c r="B313" s="101"/>
      <c r="C313" s="101"/>
      <c r="K313" s="101"/>
    </row>
    <row r="314" spans="1:11" s="102" customFormat="1">
      <c r="A314" s="101"/>
      <c r="B314" s="101"/>
      <c r="C314" s="101"/>
      <c r="K314" s="101"/>
    </row>
    <row r="315" spans="1:11" s="102" customFormat="1">
      <c r="A315" s="101"/>
      <c r="B315" s="101"/>
      <c r="C315" s="101"/>
      <c r="K315" s="101"/>
    </row>
    <row r="316" spans="1:11" s="102" customFormat="1">
      <c r="A316" s="101"/>
      <c r="B316" s="101"/>
      <c r="C316" s="101"/>
      <c r="K316" s="101"/>
    </row>
    <row r="317" spans="1:11" s="102" customFormat="1">
      <c r="A317" s="101"/>
      <c r="B317" s="101"/>
      <c r="C317" s="101"/>
      <c r="K317" s="101"/>
    </row>
    <row r="318" spans="1:11" s="102" customFormat="1">
      <c r="A318" s="101"/>
      <c r="B318" s="101"/>
      <c r="C318" s="101"/>
      <c r="K318" s="101"/>
    </row>
    <row r="319" spans="1:11" s="102" customFormat="1">
      <c r="A319" s="101"/>
      <c r="B319" s="101"/>
      <c r="C319" s="101"/>
      <c r="K319" s="101"/>
    </row>
    <row r="320" spans="1:11" s="102" customFormat="1">
      <c r="A320" s="101"/>
      <c r="B320" s="101"/>
      <c r="C320" s="101"/>
      <c r="K320" s="101"/>
    </row>
    <row r="321" spans="1:11" s="102" customFormat="1">
      <c r="A321" s="101"/>
      <c r="B321" s="101"/>
      <c r="C321" s="101"/>
      <c r="K321" s="101"/>
    </row>
    <row r="322" spans="1:11" s="102" customFormat="1">
      <c r="A322" s="101"/>
      <c r="B322" s="101"/>
      <c r="C322" s="101"/>
      <c r="K322" s="101"/>
    </row>
    <row r="323" spans="1:11" s="102" customFormat="1">
      <c r="A323" s="101"/>
      <c r="B323" s="101"/>
      <c r="C323" s="101"/>
      <c r="K323" s="101"/>
    </row>
    <row r="324" spans="1:11" s="102" customFormat="1">
      <c r="A324" s="101"/>
      <c r="B324" s="101"/>
      <c r="C324" s="101"/>
      <c r="K324" s="101"/>
    </row>
    <row r="325" spans="1:11" s="102" customFormat="1">
      <c r="A325" s="101"/>
      <c r="B325" s="101"/>
      <c r="C325" s="101"/>
      <c r="K325" s="101"/>
    </row>
    <row r="326" spans="1:11" s="102" customFormat="1">
      <c r="A326" s="101"/>
      <c r="B326" s="101"/>
      <c r="C326" s="101"/>
      <c r="K326" s="101"/>
    </row>
    <row r="327" spans="1:11" s="102" customFormat="1">
      <c r="A327" s="101"/>
      <c r="B327" s="101"/>
      <c r="C327" s="101"/>
      <c r="K327" s="101"/>
    </row>
    <row r="328" spans="1:11" s="102" customFormat="1">
      <c r="A328" s="101"/>
      <c r="B328" s="101"/>
      <c r="C328" s="101"/>
      <c r="K328" s="101"/>
    </row>
    <row r="329" spans="1:11" s="102" customFormat="1">
      <c r="A329" s="101"/>
      <c r="B329" s="101"/>
      <c r="C329" s="101"/>
      <c r="K329" s="101"/>
    </row>
    <row r="330" spans="1:11" s="102" customFormat="1">
      <c r="A330" s="101"/>
      <c r="B330" s="101"/>
      <c r="C330" s="101"/>
      <c r="K330" s="101"/>
    </row>
    <row r="331" spans="1:11" s="102" customFormat="1">
      <c r="A331" s="101"/>
      <c r="B331" s="101"/>
      <c r="C331" s="101"/>
      <c r="K331" s="101"/>
    </row>
    <row r="332" spans="1:11" s="102" customFormat="1">
      <c r="A332" s="101"/>
      <c r="B332" s="101"/>
      <c r="C332" s="101"/>
      <c r="K332" s="101"/>
    </row>
    <row r="333" spans="1:11" s="102" customFormat="1">
      <c r="A333" s="101"/>
      <c r="B333" s="101"/>
      <c r="C333" s="101"/>
      <c r="K333" s="101"/>
    </row>
    <row r="334" spans="1:11" s="102" customFormat="1">
      <c r="A334" s="101"/>
      <c r="B334" s="101"/>
      <c r="C334" s="101"/>
      <c r="K334" s="101"/>
    </row>
    <row r="335" spans="1:11" s="102" customFormat="1">
      <c r="A335" s="101"/>
      <c r="B335" s="101"/>
      <c r="C335" s="101"/>
      <c r="K335" s="101"/>
    </row>
    <row r="336" spans="1:11" s="102" customFormat="1">
      <c r="A336" s="101"/>
      <c r="B336" s="101"/>
      <c r="C336" s="101"/>
      <c r="K336" s="101"/>
    </row>
    <row r="337" spans="1:11" s="102" customFormat="1">
      <c r="A337" s="101"/>
      <c r="B337" s="101"/>
      <c r="C337" s="101"/>
      <c r="K337" s="101"/>
    </row>
    <row r="338" spans="1:11" s="102" customFormat="1">
      <c r="A338" s="101"/>
      <c r="B338" s="101"/>
      <c r="C338" s="101"/>
      <c r="K338" s="101"/>
    </row>
    <row r="339" spans="1:11" s="102" customFormat="1">
      <c r="A339" s="101"/>
      <c r="B339" s="101"/>
      <c r="C339" s="101"/>
      <c r="K339" s="101"/>
    </row>
    <row r="340" spans="1:11" s="102" customFormat="1">
      <c r="A340" s="101"/>
      <c r="B340" s="101"/>
      <c r="C340" s="101"/>
      <c r="K340" s="101"/>
    </row>
    <row r="341" spans="1:11" s="102" customFormat="1">
      <c r="A341" s="101"/>
      <c r="B341" s="101"/>
      <c r="C341" s="101"/>
      <c r="K341" s="101"/>
    </row>
    <row r="342" spans="1:11" s="102" customFormat="1">
      <c r="A342" s="101"/>
      <c r="B342" s="101"/>
      <c r="C342" s="101"/>
      <c r="K342" s="101"/>
    </row>
    <row r="343" spans="1:11" s="102" customFormat="1">
      <c r="A343" s="101"/>
      <c r="B343" s="101"/>
      <c r="C343" s="101"/>
      <c r="K343" s="101"/>
    </row>
    <row r="344" spans="1:11" s="102" customFormat="1">
      <c r="A344" s="101"/>
      <c r="B344" s="101"/>
      <c r="C344" s="101"/>
      <c r="K344" s="101"/>
    </row>
    <row r="345" spans="1:11" s="102" customFormat="1">
      <c r="A345" s="101"/>
      <c r="B345" s="101"/>
      <c r="C345" s="101"/>
      <c r="K345" s="101"/>
    </row>
    <row r="346" spans="1:11" s="102" customFormat="1">
      <c r="A346" s="101"/>
      <c r="B346" s="101"/>
      <c r="C346" s="101"/>
      <c r="K346" s="101"/>
    </row>
    <row r="347" spans="1:11" s="102" customFormat="1">
      <c r="A347" s="101"/>
      <c r="B347" s="101"/>
      <c r="C347" s="101"/>
      <c r="K347" s="101"/>
    </row>
    <row r="348" spans="1:11" s="102" customFormat="1">
      <c r="A348" s="101"/>
      <c r="B348" s="101"/>
      <c r="C348" s="101"/>
      <c r="K348" s="101"/>
    </row>
    <row r="349" spans="1:11" s="102" customFormat="1">
      <c r="A349" s="101"/>
      <c r="B349" s="101"/>
      <c r="C349" s="101"/>
      <c r="K349" s="101"/>
    </row>
    <row r="350" spans="1:11" s="102" customFormat="1">
      <c r="A350" s="101"/>
      <c r="B350" s="101"/>
      <c r="C350" s="101"/>
      <c r="K350" s="101"/>
    </row>
    <row r="351" spans="1:11" s="102" customFormat="1">
      <c r="A351" s="101"/>
      <c r="B351" s="101"/>
      <c r="C351" s="101"/>
      <c r="K351" s="101"/>
    </row>
    <row r="352" spans="1:11" s="102" customFormat="1">
      <c r="A352" s="101"/>
      <c r="B352" s="101"/>
      <c r="C352" s="101"/>
      <c r="K352" s="101"/>
    </row>
    <row r="353" spans="1:11" s="102" customFormat="1">
      <c r="A353" s="101"/>
      <c r="B353" s="101"/>
      <c r="C353" s="101"/>
      <c r="K353" s="101"/>
    </row>
    <row r="354" spans="1:11" s="102" customFormat="1">
      <c r="A354" s="101"/>
      <c r="B354" s="101"/>
      <c r="C354" s="101"/>
      <c r="K354" s="101"/>
    </row>
    <row r="355" spans="1:11" s="102" customFormat="1">
      <c r="A355" s="101"/>
      <c r="B355" s="101"/>
      <c r="C355" s="101"/>
      <c r="K355" s="101"/>
    </row>
    <row r="356" spans="1:11" s="102" customFormat="1">
      <c r="A356" s="101"/>
      <c r="B356" s="101"/>
      <c r="C356" s="101"/>
      <c r="K356" s="101"/>
    </row>
    <row r="357" spans="1:11" s="102" customFormat="1">
      <c r="A357" s="101"/>
      <c r="B357" s="101"/>
      <c r="C357" s="101"/>
      <c r="K357" s="101"/>
    </row>
    <row r="358" spans="1:11" s="102" customFormat="1">
      <c r="A358" s="101"/>
      <c r="B358" s="101"/>
      <c r="C358" s="101"/>
      <c r="K358" s="101"/>
    </row>
    <row r="359" spans="1:11" s="102" customFormat="1">
      <c r="A359" s="101"/>
      <c r="B359" s="101"/>
      <c r="C359" s="101"/>
      <c r="K359" s="101"/>
    </row>
    <row r="360" spans="1:11" s="102" customFormat="1">
      <c r="A360" s="101"/>
      <c r="B360" s="101"/>
      <c r="C360" s="101"/>
      <c r="K360" s="101"/>
    </row>
    <row r="361" spans="1:11" s="102" customFormat="1">
      <c r="A361" s="101"/>
      <c r="B361" s="101"/>
      <c r="C361" s="101"/>
      <c r="K361" s="101"/>
    </row>
    <row r="362" spans="1:11" s="102" customFormat="1">
      <c r="A362" s="101"/>
      <c r="B362" s="101"/>
      <c r="C362" s="101"/>
      <c r="K362" s="101"/>
    </row>
    <row r="363" spans="1:11" s="102" customFormat="1">
      <c r="A363" s="101"/>
      <c r="B363" s="101"/>
      <c r="C363" s="101"/>
      <c r="K363" s="101"/>
    </row>
    <row r="364" spans="1:11" s="102" customFormat="1">
      <c r="A364" s="101"/>
      <c r="B364" s="101"/>
      <c r="C364" s="101"/>
      <c r="K364" s="101"/>
    </row>
    <row r="365" spans="1:11" s="102" customFormat="1">
      <c r="A365" s="101"/>
      <c r="B365" s="101"/>
      <c r="C365" s="101"/>
      <c r="K365" s="101"/>
    </row>
    <row r="366" spans="1:11" s="102" customFormat="1">
      <c r="A366" s="101"/>
      <c r="B366" s="101"/>
      <c r="C366" s="101"/>
      <c r="K366" s="101"/>
    </row>
    <row r="367" spans="1:11" s="102" customFormat="1">
      <c r="A367" s="101"/>
      <c r="B367" s="101"/>
      <c r="C367" s="101"/>
      <c r="K367" s="101"/>
    </row>
    <row r="368" spans="1:11" s="102" customFormat="1">
      <c r="A368" s="101"/>
      <c r="B368" s="101"/>
      <c r="C368" s="101"/>
      <c r="K368" s="101"/>
    </row>
    <row r="369" spans="1:11" s="102" customFormat="1">
      <c r="A369" s="101"/>
      <c r="B369" s="101"/>
      <c r="C369" s="101"/>
      <c r="K369" s="101"/>
    </row>
    <row r="370" spans="1:11" s="102" customFormat="1">
      <c r="A370" s="101"/>
      <c r="B370" s="101"/>
      <c r="C370" s="101"/>
      <c r="K370" s="101"/>
    </row>
    <row r="371" spans="1:11" s="102" customFormat="1">
      <c r="A371" s="101"/>
      <c r="B371" s="101"/>
      <c r="C371" s="101"/>
      <c r="K371" s="101"/>
    </row>
    <row r="372" spans="1:11" s="102" customFormat="1">
      <c r="A372" s="101"/>
      <c r="B372" s="101"/>
      <c r="C372" s="101"/>
      <c r="K372" s="101"/>
    </row>
    <row r="373" spans="1:11" s="102" customFormat="1">
      <c r="A373" s="101"/>
      <c r="B373" s="101"/>
      <c r="C373" s="101"/>
      <c r="K373" s="101"/>
    </row>
    <row r="374" spans="1:11" s="102" customFormat="1">
      <c r="A374" s="101"/>
      <c r="B374" s="101"/>
      <c r="C374" s="101"/>
      <c r="K374" s="101"/>
    </row>
    <row r="375" spans="1:11" s="102" customFormat="1">
      <c r="A375" s="101"/>
      <c r="B375" s="101"/>
      <c r="C375" s="101"/>
      <c r="K375" s="101"/>
    </row>
    <row r="376" spans="1:11" s="102" customFormat="1">
      <c r="A376" s="101"/>
      <c r="B376" s="101"/>
      <c r="C376" s="101"/>
      <c r="K376" s="101"/>
    </row>
    <row r="377" spans="1:11" s="102" customFormat="1">
      <c r="A377" s="101"/>
      <c r="B377" s="101"/>
      <c r="C377" s="101"/>
      <c r="K377" s="101"/>
    </row>
    <row r="378" spans="1:11" s="102" customFormat="1">
      <c r="A378" s="101"/>
      <c r="B378" s="101"/>
      <c r="C378" s="101"/>
      <c r="K378" s="101"/>
    </row>
    <row r="379" spans="1:11" s="102" customFormat="1">
      <c r="A379" s="101"/>
      <c r="B379" s="101"/>
      <c r="C379" s="101"/>
      <c r="K379" s="101"/>
    </row>
    <row r="380" spans="1:11" s="102" customFormat="1">
      <c r="A380" s="101"/>
      <c r="B380" s="101"/>
      <c r="C380" s="101"/>
      <c r="K380" s="101"/>
    </row>
    <row r="381" spans="1:11" s="102" customFormat="1">
      <c r="A381" s="101"/>
      <c r="B381" s="101"/>
      <c r="C381" s="101"/>
      <c r="K381" s="101"/>
    </row>
    <row r="382" spans="1:11" s="102" customFormat="1">
      <c r="A382" s="101"/>
      <c r="B382" s="101"/>
      <c r="C382" s="101"/>
      <c r="K382" s="101"/>
    </row>
    <row r="383" spans="1:11" s="102" customFormat="1">
      <c r="A383" s="101"/>
      <c r="B383" s="101"/>
      <c r="C383" s="101"/>
      <c r="K383" s="101"/>
    </row>
    <row r="384" spans="1:11" s="102" customFormat="1">
      <c r="A384" s="101"/>
      <c r="B384" s="101"/>
      <c r="C384" s="101"/>
      <c r="K384" s="101"/>
    </row>
    <row r="385" spans="1:11" s="102" customFormat="1">
      <c r="A385" s="101"/>
      <c r="B385" s="101"/>
      <c r="C385" s="101"/>
      <c r="K385" s="101"/>
    </row>
    <row r="386" spans="1:11" s="102" customFormat="1">
      <c r="A386" s="101"/>
      <c r="B386" s="101"/>
      <c r="C386" s="101"/>
      <c r="K386" s="101"/>
    </row>
    <row r="387" spans="1:11" s="102" customFormat="1">
      <c r="A387" s="101"/>
      <c r="B387" s="101"/>
      <c r="C387" s="101"/>
      <c r="K387" s="101"/>
    </row>
    <row r="388" spans="1:11" s="102" customFormat="1">
      <c r="A388" s="101"/>
      <c r="B388" s="101"/>
      <c r="C388" s="101"/>
      <c r="K388" s="101"/>
    </row>
    <row r="389" spans="1:11" s="102" customFormat="1">
      <c r="A389" s="101"/>
      <c r="B389" s="101"/>
      <c r="C389" s="101"/>
      <c r="K389" s="101"/>
    </row>
    <row r="390" spans="1:11" s="102" customFormat="1">
      <c r="A390" s="101"/>
      <c r="B390" s="101"/>
      <c r="C390" s="101"/>
      <c r="K390" s="101"/>
    </row>
    <row r="391" spans="1:11" s="102" customFormat="1">
      <c r="A391" s="101"/>
      <c r="B391" s="101"/>
      <c r="C391" s="101"/>
      <c r="K391" s="101"/>
    </row>
    <row r="392" spans="1:11" s="102" customFormat="1">
      <c r="A392" s="101"/>
      <c r="B392" s="101"/>
      <c r="C392" s="101"/>
      <c r="K392" s="101"/>
    </row>
    <row r="393" spans="1:11" s="102" customFormat="1">
      <c r="A393" s="101"/>
      <c r="B393" s="101"/>
      <c r="C393" s="101"/>
      <c r="K393" s="101"/>
    </row>
    <row r="394" spans="1:11" s="102" customFormat="1">
      <c r="A394" s="101"/>
      <c r="B394" s="101"/>
      <c r="C394" s="101"/>
      <c r="K394" s="101"/>
    </row>
    <row r="395" spans="1:11" s="102" customFormat="1">
      <c r="A395" s="101"/>
      <c r="B395" s="101"/>
      <c r="C395" s="101"/>
      <c r="K395" s="101"/>
    </row>
    <row r="396" spans="1:11" s="102" customFormat="1">
      <c r="A396" s="101"/>
      <c r="B396" s="101"/>
      <c r="C396" s="101"/>
      <c r="K396" s="101"/>
    </row>
    <row r="397" spans="1:11" s="102" customFormat="1">
      <c r="A397" s="101"/>
      <c r="B397" s="101"/>
      <c r="C397" s="101"/>
      <c r="K397" s="101"/>
    </row>
    <row r="398" spans="1:11" s="102" customFormat="1">
      <c r="A398" s="101"/>
      <c r="B398" s="101"/>
      <c r="C398" s="101"/>
      <c r="K398" s="101"/>
    </row>
    <row r="399" spans="1:11" s="102" customFormat="1">
      <c r="A399" s="101"/>
      <c r="B399" s="101"/>
      <c r="C399" s="101"/>
      <c r="K399" s="101"/>
    </row>
    <row r="400" spans="1:11" s="102" customFormat="1">
      <c r="A400" s="101"/>
      <c r="B400" s="101"/>
      <c r="C400" s="101"/>
      <c r="K400" s="101"/>
    </row>
    <row r="401" spans="1:11" s="102" customFormat="1">
      <c r="A401" s="101"/>
      <c r="B401" s="101"/>
      <c r="C401" s="101"/>
      <c r="K401" s="101"/>
    </row>
    <row r="402" spans="1:11" s="102" customFormat="1">
      <c r="A402" s="101"/>
      <c r="B402" s="101"/>
      <c r="C402" s="101"/>
      <c r="K402" s="101"/>
    </row>
    <row r="403" spans="1:11" s="102" customFormat="1">
      <c r="A403" s="101"/>
      <c r="B403" s="101"/>
      <c r="C403" s="101"/>
      <c r="K403" s="101"/>
    </row>
    <row r="404" spans="1:11" s="102" customFormat="1">
      <c r="A404" s="101"/>
      <c r="B404" s="101"/>
      <c r="C404" s="101"/>
      <c r="K404" s="101"/>
    </row>
    <row r="405" spans="1:11" s="102" customFormat="1">
      <c r="A405" s="101"/>
      <c r="B405" s="101"/>
      <c r="C405" s="101"/>
      <c r="K405" s="101"/>
    </row>
    <row r="406" spans="1:11" s="102" customFormat="1">
      <c r="A406" s="101"/>
      <c r="B406" s="101"/>
      <c r="C406" s="101"/>
      <c r="K406" s="101"/>
    </row>
    <row r="407" spans="1:11" s="102" customFormat="1">
      <c r="A407" s="101"/>
      <c r="B407" s="101"/>
      <c r="C407" s="101"/>
      <c r="K407" s="101"/>
    </row>
    <row r="408" spans="1:11" s="102" customFormat="1">
      <c r="A408" s="101"/>
      <c r="B408" s="101"/>
      <c r="C408" s="101"/>
      <c r="K408" s="101"/>
    </row>
    <row r="409" spans="1:11" s="102" customFormat="1">
      <c r="A409" s="101"/>
      <c r="B409" s="101"/>
      <c r="C409" s="101"/>
      <c r="K409" s="101"/>
    </row>
    <row r="410" spans="1:11" s="102" customFormat="1">
      <c r="A410" s="101"/>
      <c r="B410" s="101"/>
      <c r="C410" s="101"/>
      <c r="K410" s="101"/>
    </row>
    <row r="411" spans="1:11" s="102" customFormat="1">
      <c r="A411" s="101"/>
      <c r="B411" s="101"/>
      <c r="C411" s="101"/>
      <c r="K411" s="101"/>
    </row>
    <row r="412" spans="1:11" s="102" customFormat="1">
      <c r="A412" s="101"/>
      <c r="B412" s="101"/>
      <c r="C412" s="101"/>
      <c r="K412" s="101"/>
    </row>
    <row r="413" spans="1:11" s="102" customFormat="1">
      <c r="A413" s="101"/>
      <c r="B413" s="101"/>
      <c r="C413" s="101"/>
      <c r="K413" s="101"/>
    </row>
    <row r="414" spans="1:11" s="102" customFormat="1">
      <c r="A414" s="101"/>
      <c r="B414" s="101"/>
      <c r="C414" s="101"/>
      <c r="K414" s="101"/>
    </row>
    <row r="415" spans="1:11" s="102" customFormat="1">
      <c r="A415" s="101"/>
      <c r="B415" s="101"/>
      <c r="C415" s="101"/>
      <c r="K415" s="101"/>
    </row>
    <row r="416" spans="1:11" s="102" customFormat="1">
      <c r="A416" s="101"/>
      <c r="B416" s="101"/>
      <c r="C416" s="101"/>
      <c r="K416" s="101"/>
    </row>
    <row r="417" spans="1:11" s="102" customFormat="1">
      <c r="A417" s="101"/>
      <c r="B417" s="101"/>
      <c r="C417" s="101"/>
      <c r="K417" s="101"/>
    </row>
    <row r="418" spans="1:11" s="102" customFormat="1">
      <c r="A418" s="101"/>
      <c r="B418" s="101"/>
      <c r="C418" s="101"/>
      <c r="K418" s="101"/>
    </row>
    <row r="419" spans="1:11" s="102" customFormat="1">
      <c r="A419" s="101"/>
      <c r="B419" s="101"/>
      <c r="C419" s="101"/>
      <c r="K419" s="101"/>
    </row>
    <row r="420" spans="1:11" s="102" customFormat="1">
      <c r="A420" s="101"/>
      <c r="B420" s="101"/>
      <c r="C420" s="101"/>
      <c r="K420" s="101"/>
    </row>
    <row r="421" spans="1:11" s="102" customFormat="1">
      <c r="A421" s="101"/>
      <c r="B421" s="101"/>
      <c r="C421" s="101"/>
      <c r="K421" s="101"/>
    </row>
    <row r="422" spans="1:11" s="102" customFormat="1">
      <c r="A422" s="101"/>
      <c r="B422" s="101"/>
      <c r="C422" s="101"/>
      <c r="K422" s="101"/>
    </row>
    <row r="423" spans="1:11" s="102" customFormat="1">
      <c r="A423" s="101"/>
      <c r="B423" s="101"/>
      <c r="C423" s="101"/>
      <c r="K423" s="101"/>
    </row>
    <row r="424" spans="1:11" s="102" customFormat="1">
      <c r="A424" s="101"/>
      <c r="B424" s="101"/>
      <c r="C424" s="101"/>
      <c r="K424" s="101"/>
    </row>
    <row r="425" spans="1:11" s="102" customFormat="1">
      <c r="A425" s="101"/>
      <c r="B425" s="101"/>
      <c r="C425" s="101"/>
      <c r="K425" s="101"/>
    </row>
    <row r="426" spans="1:11" s="102" customFormat="1">
      <c r="A426" s="101"/>
      <c r="B426" s="101"/>
      <c r="C426" s="101"/>
      <c r="K426" s="101"/>
    </row>
    <row r="427" spans="1:11" s="102" customFormat="1">
      <c r="A427" s="101"/>
      <c r="B427" s="101"/>
      <c r="C427" s="101"/>
      <c r="K427" s="101"/>
    </row>
    <row r="428" spans="1:11" s="102" customFormat="1">
      <c r="A428" s="101"/>
      <c r="B428" s="101"/>
      <c r="C428" s="101"/>
      <c r="K428" s="101"/>
    </row>
    <row r="429" spans="1:11" s="102" customFormat="1">
      <c r="A429" s="101"/>
      <c r="B429" s="101"/>
      <c r="C429" s="101"/>
      <c r="K429" s="101"/>
    </row>
    <row r="430" spans="1:11" s="102" customFormat="1">
      <c r="A430" s="101"/>
      <c r="B430" s="101"/>
      <c r="C430" s="101"/>
      <c r="K430" s="101"/>
    </row>
    <row r="431" spans="1:11" s="102" customFormat="1">
      <c r="A431" s="101"/>
      <c r="B431" s="101"/>
      <c r="C431" s="101"/>
      <c r="K431" s="101"/>
    </row>
    <row r="432" spans="1:11" s="102" customFormat="1">
      <c r="A432" s="101"/>
      <c r="B432" s="101"/>
      <c r="C432" s="101"/>
      <c r="K432" s="101"/>
    </row>
    <row r="433" spans="1:11" s="102" customFormat="1">
      <c r="A433" s="101"/>
      <c r="B433" s="101"/>
      <c r="C433" s="101"/>
      <c r="K433" s="101"/>
    </row>
    <row r="434" spans="1:11" s="102" customFormat="1">
      <c r="A434" s="101"/>
      <c r="B434" s="101"/>
      <c r="C434" s="101"/>
      <c r="K434" s="101"/>
    </row>
    <row r="435" spans="1:11" s="102" customFormat="1">
      <c r="A435" s="101"/>
      <c r="B435" s="101"/>
      <c r="C435" s="101"/>
      <c r="K435" s="101"/>
    </row>
    <row r="436" spans="1:11" s="102" customFormat="1">
      <c r="A436" s="101"/>
      <c r="B436" s="101"/>
      <c r="C436" s="101"/>
      <c r="K436" s="101"/>
    </row>
    <row r="437" spans="1:11" s="102" customFormat="1">
      <c r="A437" s="101"/>
      <c r="B437" s="101"/>
      <c r="C437" s="101"/>
      <c r="K437" s="101"/>
    </row>
    <row r="438" spans="1:11" s="102" customFormat="1">
      <c r="A438" s="101"/>
      <c r="B438" s="101"/>
      <c r="C438" s="101"/>
      <c r="K438" s="101"/>
    </row>
    <row r="439" spans="1:11" s="102" customFormat="1">
      <c r="A439" s="101"/>
      <c r="B439" s="101"/>
      <c r="C439" s="101"/>
      <c r="K439" s="101"/>
    </row>
    <row r="440" spans="1:11" s="102" customFormat="1">
      <c r="A440" s="101"/>
      <c r="B440" s="101"/>
      <c r="C440" s="101"/>
      <c r="K440" s="101"/>
    </row>
    <row r="441" spans="1:11" s="102" customFormat="1">
      <c r="A441" s="101"/>
      <c r="B441" s="101"/>
      <c r="C441" s="101"/>
      <c r="K441" s="101"/>
    </row>
    <row r="442" spans="1:11" s="102" customFormat="1">
      <c r="A442" s="101"/>
      <c r="B442" s="101"/>
      <c r="C442" s="101"/>
      <c r="K442" s="101"/>
    </row>
    <row r="443" spans="1:11" s="102" customFormat="1">
      <c r="A443" s="101"/>
      <c r="B443" s="101"/>
      <c r="C443" s="101"/>
      <c r="K443" s="101"/>
    </row>
    <row r="444" spans="1:11" s="102" customFormat="1">
      <c r="A444" s="101"/>
      <c r="B444" s="101"/>
      <c r="C444" s="101"/>
      <c r="K444" s="101"/>
    </row>
    <row r="445" spans="1:11" s="102" customFormat="1">
      <c r="A445" s="101"/>
      <c r="B445" s="101"/>
      <c r="C445" s="101"/>
      <c r="K445" s="101"/>
    </row>
    <row r="446" spans="1:11" s="102" customFormat="1">
      <c r="A446" s="101"/>
      <c r="B446" s="101"/>
      <c r="C446" s="101"/>
      <c r="K446" s="101"/>
    </row>
    <row r="447" spans="1:11" s="102" customFormat="1">
      <c r="A447" s="101"/>
      <c r="B447" s="101"/>
      <c r="C447" s="101"/>
      <c r="K447" s="101"/>
    </row>
    <row r="448" spans="1:11" s="102" customFormat="1">
      <c r="A448" s="101"/>
      <c r="B448" s="101"/>
      <c r="C448" s="101"/>
      <c r="K448" s="101"/>
    </row>
    <row r="449" spans="1:11" s="102" customFormat="1">
      <c r="A449" s="101"/>
      <c r="B449" s="101"/>
      <c r="C449" s="101"/>
      <c r="K449" s="101"/>
    </row>
    <row r="450" spans="1:11" s="102" customFormat="1">
      <c r="A450" s="101"/>
      <c r="B450" s="101"/>
      <c r="C450" s="101"/>
      <c r="K450" s="101"/>
    </row>
    <row r="451" spans="1:11" s="102" customFormat="1">
      <c r="A451" s="101"/>
      <c r="B451" s="101"/>
      <c r="C451" s="101"/>
      <c r="K451" s="101"/>
    </row>
    <row r="452" spans="1:11" s="102" customFormat="1">
      <c r="A452" s="101"/>
      <c r="B452" s="101"/>
      <c r="C452" s="101"/>
      <c r="K452" s="101"/>
    </row>
    <row r="453" spans="1:11" s="102" customFormat="1">
      <c r="A453" s="101"/>
      <c r="B453" s="101"/>
      <c r="C453" s="101"/>
      <c r="K453" s="101"/>
    </row>
    <row r="454" spans="1:11" s="102" customFormat="1">
      <c r="A454" s="101"/>
      <c r="B454" s="101"/>
      <c r="C454" s="101"/>
      <c r="K454" s="101"/>
    </row>
    <row r="455" spans="1:11" s="102" customFormat="1">
      <c r="A455" s="101"/>
      <c r="B455" s="101"/>
      <c r="C455" s="101"/>
      <c r="K455" s="101"/>
    </row>
    <row r="456" spans="1:11" s="102" customFormat="1">
      <c r="A456" s="101"/>
      <c r="B456" s="101"/>
      <c r="C456" s="101"/>
      <c r="K456" s="101"/>
    </row>
    <row r="457" spans="1:11" s="102" customFormat="1">
      <c r="A457" s="101"/>
      <c r="B457" s="101"/>
      <c r="C457" s="101"/>
      <c r="K457" s="101"/>
    </row>
    <row r="458" spans="1:11" s="102" customFormat="1">
      <c r="A458" s="101"/>
      <c r="B458" s="101"/>
      <c r="C458" s="101"/>
      <c r="K458" s="101"/>
    </row>
    <row r="459" spans="1:11" s="102" customFormat="1">
      <c r="A459" s="101"/>
      <c r="B459" s="101"/>
      <c r="C459" s="101"/>
      <c r="K459" s="101"/>
    </row>
    <row r="460" spans="1:11" s="102" customFormat="1">
      <c r="A460" s="101"/>
      <c r="B460" s="101"/>
      <c r="C460" s="101"/>
      <c r="K460" s="101"/>
    </row>
    <row r="461" spans="1:11" s="102" customFormat="1">
      <c r="A461" s="101"/>
      <c r="B461" s="101"/>
      <c r="C461" s="101"/>
      <c r="K461" s="101"/>
    </row>
    <row r="462" spans="1:11" s="102" customFormat="1">
      <c r="A462" s="101"/>
      <c r="B462" s="101"/>
      <c r="C462" s="101"/>
      <c r="K462" s="101"/>
    </row>
    <row r="463" spans="1:11" s="102" customFormat="1">
      <c r="A463" s="101"/>
      <c r="B463" s="101"/>
      <c r="C463" s="101"/>
      <c r="K463" s="101"/>
    </row>
    <row r="464" spans="1:11" s="102" customFormat="1">
      <c r="A464" s="101"/>
      <c r="B464" s="101"/>
      <c r="C464" s="101"/>
      <c r="K464" s="101"/>
    </row>
    <row r="465" spans="1:11" s="102" customFormat="1">
      <c r="A465" s="101"/>
      <c r="B465" s="101"/>
      <c r="C465" s="101"/>
      <c r="K465" s="101"/>
    </row>
    <row r="466" spans="1:11" s="102" customFormat="1">
      <c r="A466" s="101"/>
      <c r="B466" s="101"/>
      <c r="C466" s="101"/>
      <c r="K466" s="101"/>
    </row>
    <row r="467" spans="1:11" s="102" customFormat="1">
      <c r="A467" s="101"/>
      <c r="B467" s="101"/>
      <c r="C467" s="101"/>
      <c r="K467" s="101"/>
    </row>
    <row r="468" spans="1:11" s="102" customFormat="1">
      <c r="A468" s="101"/>
      <c r="B468" s="101"/>
      <c r="C468" s="101"/>
      <c r="K468" s="101"/>
    </row>
    <row r="469" spans="1:11" s="102" customFormat="1">
      <c r="A469" s="101"/>
      <c r="B469" s="101"/>
      <c r="C469" s="101"/>
      <c r="K469" s="101"/>
    </row>
    <row r="470" spans="1:11" s="102" customFormat="1">
      <c r="A470" s="101"/>
      <c r="B470" s="101"/>
      <c r="C470" s="101"/>
      <c r="K470" s="101"/>
    </row>
    <row r="471" spans="1:11" s="102" customFormat="1">
      <c r="A471" s="101"/>
      <c r="B471" s="101"/>
      <c r="C471" s="101"/>
      <c r="K471" s="101"/>
    </row>
    <row r="472" spans="1:11" s="102" customFormat="1">
      <c r="A472" s="101"/>
      <c r="B472" s="101"/>
      <c r="C472" s="101"/>
      <c r="K472" s="101"/>
    </row>
    <row r="473" spans="1:11" s="102" customFormat="1">
      <c r="A473" s="101"/>
      <c r="B473" s="101"/>
      <c r="C473" s="101"/>
      <c r="K473" s="101"/>
    </row>
    <row r="474" spans="1:11" s="102" customFormat="1">
      <c r="A474" s="101"/>
      <c r="B474" s="101"/>
      <c r="C474" s="101"/>
      <c r="K474" s="101"/>
    </row>
    <row r="475" spans="1:11" s="102" customFormat="1">
      <c r="A475" s="101"/>
      <c r="B475" s="101"/>
      <c r="C475" s="101"/>
      <c r="K475" s="101"/>
    </row>
    <row r="476" spans="1:11" s="102" customFormat="1">
      <c r="A476" s="101"/>
      <c r="B476" s="101"/>
      <c r="C476" s="101"/>
      <c r="K476" s="101"/>
    </row>
    <row r="477" spans="1:11" s="102" customFormat="1">
      <c r="A477" s="101"/>
      <c r="B477" s="101"/>
      <c r="C477" s="101"/>
      <c r="K477" s="101"/>
    </row>
    <row r="478" spans="1:11" s="102" customFormat="1">
      <c r="A478" s="101"/>
      <c r="B478" s="101"/>
      <c r="C478" s="101"/>
      <c r="K478" s="101"/>
    </row>
    <row r="479" spans="1:11" s="102" customFormat="1">
      <c r="A479" s="101"/>
      <c r="B479" s="101"/>
      <c r="C479" s="101"/>
      <c r="K479" s="101"/>
    </row>
    <row r="480" spans="1:11" s="102" customFormat="1">
      <c r="A480" s="101"/>
      <c r="B480" s="101"/>
      <c r="C480" s="101"/>
      <c r="K480" s="101"/>
    </row>
    <row r="481" spans="1:11" s="102" customFormat="1">
      <c r="A481" s="101"/>
      <c r="B481" s="101"/>
      <c r="C481" s="101"/>
      <c r="K481" s="101"/>
    </row>
    <row r="482" spans="1:11" s="102" customFormat="1">
      <c r="A482" s="101"/>
      <c r="B482" s="101"/>
      <c r="C482" s="101"/>
      <c r="K482" s="101"/>
    </row>
    <row r="483" spans="1:11" s="102" customFormat="1">
      <c r="A483" s="101"/>
      <c r="B483" s="101"/>
      <c r="C483" s="101"/>
      <c r="K483" s="101"/>
    </row>
    <row r="484" spans="1:11" s="102" customFormat="1">
      <c r="A484" s="101"/>
      <c r="B484" s="101"/>
      <c r="C484" s="101"/>
      <c r="K484" s="101"/>
    </row>
    <row r="485" spans="1:11" s="102" customFormat="1">
      <c r="A485" s="101"/>
      <c r="B485" s="101"/>
      <c r="C485" s="101"/>
      <c r="K485" s="101"/>
    </row>
    <row r="486" spans="1:11" s="102" customFormat="1">
      <c r="A486" s="101"/>
      <c r="B486" s="101"/>
      <c r="C486" s="101"/>
      <c r="K486" s="101"/>
    </row>
    <row r="487" spans="1:11" s="102" customFormat="1">
      <c r="A487" s="101"/>
      <c r="B487" s="101"/>
      <c r="C487" s="101"/>
      <c r="K487" s="101"/>
    </row>
    <row r="488" spans="1:11" s="102" customFormat="1">
      <c r="A488" s="101"/>
      <c r="B488" s="101"/>
      <c r="C488" s="101"/>
      <c r="K488" s="101"/>
    </row>
    <row r="489" spans="1:11" s="102" customFormat="1">
      <c r="A489" s="101"/>
      <c r="B489" s="101"/>
      <c r="C489" s="101"/>
      <c r="K489" s="101"/>
    </row>
    <row r="490" spans="1:11" s="102" customFormat="1">
      <c r="A490" s="101"/>
      <c r="B490" s="101"/>
      <c r="C490" s="101"/>
      <c r="K490" s="101"/>
    </row>
    <row r="491" spans="1:11" s="102" customFormat="1">
      <c r="A491" s="101"/>
      <c r="B491" s="101"/>
      <c r="C491" s="101"/>
      <c r="K491" s="101"/>
    </row>
    <row r="492" spans="1:11" s="102" customFormat="1">
      <c r="A492" s="101"/>
      <c r="B492" s="101"/>
      <c r="C492" s="101"/>
      <c r="K492" s="101"/>
    </row>
    <row r="493" spans="1:11" s="102" customFormat="1">
      <c r="A493" s="101"/>
      <c r="B493" s="101"/>
      <c r="C493" s="101"/>
      <c r="K493" s="101"/>
    </row>
    <row r="494" spans="1:11" s="102" customFormat="1">
      <c r="A494" s="101"/>
      <c r="B494" s="101"/>
      <c r="C494" s="101"/>
      <c r="K494" s="101"/>
    </row>
    <row r="495" spans="1:11" s="102" customFormat="1">
      <c r="A495" s="101"/>
      <c r="B495" s="101"/>
      <c r="C495" s="101"/>
      <c r="K495" s="101"/>
    </row>
    <row r="496" spans="1:11" s="102" customFormat="1">
      <c r="A496" s="101"/>
      <c r="B496" s="101"/>
      <c r="C496" s="101"/>
      <c r="K496" s="101"/>
    </row>
    <row r="497" spans="1:11" s="102" customFormat="1">
      <c r="A497" s="101"/>
      <c r="B497" s="101"/>
      <c r="C497" s="101"/>
      <c r="K497" s="101"/>
    </row>
    <row r="498" spans="1:11" s="102" customFormat="1">
      <c r="A498" s="101"/>
      <c r="B498" s="101"/>
      <c r="C498" s="101"/>
      <c r="K498" s="101"/>
    </row>
    <row r="499" spans="1:11" s="102" customFormat="1">
      <c r="A499" s="101"/>
      <c r="B499" s="101"/>
      <c r="C499" s="101"/>
      <c r="K499" s="101"/>
    </row>
    <row r="500" spans="1:11" s="102" customFormat="1">
      <c r="A500" s="101"/>
      <c r="B500" s="101"/>
      <c r="C500" s="101"/>
      <c r="K500" s="101"/>
    </row>
    <row r="501" spans="1:11" s="102" customFormat="1">
      <c r="A501" s="101"/>
      <c r="B501" s="101"/>
      <c r="C501" s="101"/>
      <c r="K501" s="101"/>
    </row>
    <row r="502" spans="1:11" s="102" customFormat="1">
      <c r="A502" s="101"/>
      <c r="B502" s="101"/>
      <c r="C502" s="101"/>
      <c r="K502" s="101"/>
    </row>
    <row r="503" spans="1:11" s="102" customFormat="1">
      <c r="A503" s="101"/>
      <c r="B503" s="101"/>
      <c r="C503" s="101"/>
      <c r="K503" s="101"/>
    </row>
    <row r="504" spans="1:11" s="102" customFormat="1">
      <c r="A504" s="101"/>
      <c r="B504" s="101"/>
      <c r="C504" s="101"/>
      <c r="K504" s="101"/>
    </row>
    <row r="505" spans="1:11" s="102" customFormat="1">
      <c r="A505" s="101"/>
      <c r="B505" s="101"/>
      <c r="C505" s="101"/>
      <c r="K505" s="101"/>
    </row>
    <row r="506" spans="1:11" s="102" customFormat="1">
      <c r="A506" s="101"/>
      <c r="B506" s="101"/>
      <c r="C506" s="101"/>
      <c r="K506" s="101"/>
    </row>
    <row r="507" spans="1:11" s="102" customFormat="1">
      <c r="A507" s="101"/>
      <c r="B507" s="101"/>
      <c r="C507" s="101"/>
      <c r="K507" s="101"/>
    </row>
    <row r="508" spans="1:11" s="102" customFormat="1">
      <c r="A508" s="101"/>
      <c r="B508" s="101"/>
      <c r="C508" s="101"/>
      <c r="K508" s="101"/>
    </row>
    <row r="509" spans="1:11" s="102" customFormat="1">
      <c r="A509" s="101"/>
      <c r="B509" s="101"/>
      <c r="C509" s="101"/>
      <c r="K509" s="101"/>
    </row>
    <row r="510" spans="1:11" s="102" customFormat="1">
      <c r="A510" s="101"/>
      <c r="B510" s="101"/>
      <c r="C510" s="101"/>
      <c r="K510" s="101"/>
    </row>
    <row r="511" spans="1:11" s="102" customFormat="1">
      <c r="A511" s="101"/>
      <c r="B511" s="101"/>
      <c r="C511" s="101"/>
      <c r="K511" s="101"/>
    </row>
    <row r="512" spans="1:11" s="102" customFormat="1">
      <c r="A512" s="101"/>
      <c r="B512" s="101"/>
      <c r="C512" s="101"/>
      <c r="K512" s="101"/>
    </row>
    <row r="513" spans="1:11" s="102" customFormat="1">
      <c r="A513" s="101"/>
      <c r="B513" s="101"/>
      <c r="C513" s="101"/>
      <c r="K513" s="101"/>
    </row>
    <row r="514" spans="1:11" s="102" customFormat="1">
      <c r="A514" s="101"/>
      <c r="B514" s="101"/>
      <c r="C514" s="101"/>
      <c r="K514" s="101"/>
    </row>
    <row r="515" spans="1:11" s="102" customFormat="1">
      <c r="A515" s="101"/>
      <c r="B515" s="101"/>
      <c r="C515" s="101"/>
      <c r="K515" s="101"/>
    </row>
    <row r="516" spans="1:11" s="102" customFormat="1">
      <c r="A516" s="101"/>
      <c r="B516" s="101"/>
      <c r="C516" s="101"/>
      <c r="K516" s="101"/>
    </row>
    <row r="517" spans="1:11" s="102" customFormat="1">
      <c r="A517" s="101"/>
      <c r="B517" s="101"/>
      <c r="C517" s="101"/>
      <c r="K517" s="101"/>
    </row>
    <row r="518" spans="1:11" s="102" customFormat="1">
      <c r="A518" s="101"/>
      <c r="B518" s="101"/>
      <c r="C518" s="101"/>
      <c r="K518" s="101"/>
    </row>
    <row r="519" spans="1:11" s="102" customFormat="1">
      <c r="A519" s="101"/>
      <c r="B519" s="101"/>
      <c r="C519" s="101"/>
      <c r="K519" s="101"/>
    </row>
    <row r="520" spans="1:11" s="102" customFormat="1">
      <c r="A520" s="101"/>
      <c r="B520" s="101"/>
      <c r="C520" s="101"/>
      <c r="K520" s="101"/>
    </row>
    <row r="521" spans="1:11" s="102" customFormat="1">
      <c r="A521" s="101"/>
      <c r="B521" s="101"/>
      <c r="C521" s="101"/>
      <c r="K521" s="101"/>
    </row>
    <row r="522" spans="1:11" s="102" customFormat="1">
      <c r="A522" s="101"/>
      <c r="B522" s="101"/>
      <c r="C522" s="101"/>
      <c r="K522" s="101"/>
    </row>
    <row r="523" spans="1:11" s="102" customFormat="1">
      <c r="A523" s="101"/>
      <c r="B523" s="101"/>
      <c r="C523" s="101"/>
      <c r="K523" s="101"/>
    </row>
    <row r="524" spans="1:11" s="102" customFormat="1">
      <c r="A524" s="101"/>
      <c r="B524" s="101"/>
      <c r="C524" s="101"/>
      <c r="K524" s="101"/>
    </row>
    <row r="525" spans="1:11" s="102" customFormat="1">
      <c r="A525" s="101"/>
      <c r="B525" s="101"/>
      <c r="C525" s="101"/>
      <c r="K525" s="101"/>
    </row>
    <row r="526" spans="1:11" s="102" customFormat="1">
      <c r="A526" s="101"/>
      <c r="B526" s="101"/>
      <c r="C526" s="101"/>
      <c r="K526" s="101"/>
    </row>
    <row r="527" spans="1:11" s="102" customFormat="1">
      <c r="A527" s="101"/>
      <c r="B527" s="101"/>
      <c r="C527" s="101"/>
      <c r="K527" s="101"/>
    </row>
    <row r="528" spans="1:11" s="102" customFormat="1">
      <c r="A528" s="101"/>
      <c r="B528" s="101"/>
      <c r="C528" s="101"/>
      <c r="K528" s="101"/>
    </row>
    <row r="529" spans="1:11" s="102" customFormat="1">
      <c r="A529" s="101"/>
      <c r="B529" s="101"/>
      <c r="C529" s="101"/>
      <c r="K529" s="101"/>
    </row>
    <row r="530" spans="1:11" s="102" customFormat="1">
      <c r="A530" s="101"/>
      <c r="B530" s="101"/>
      <c r="C530" s="101"/>
      <c r="K530" s="101"/>
    </row>
    <row r="531" spans="1:11" s="102" customFormat="1">
      <c r="A531" s="101"/>
      <c r="B531" s="101"/>
      <c r="C531" s="101"/>
      <c r="K531" s="101"/>
    </row>
    <row r="532" spans="1:11" s="102" customFormat="1">
      <c r="A532" s="101"/>
      <c r="B532" s="101"/>
      <c r="C532" s="101"/>
      <c r="K532" s="101"/>
    </row>
    <row r="533" spans="1:11" s="102" customFormat="1">
      <c r="A533" s="101"/>
      <c r="B533" s="101"/>
      <c r="C533" s="101"/>
      <c r="K533" s="101"/>
    </row>
    <row r="534" spans="1:11" s="102" customFormat="1">
      <c r="A534" s="101"/>
      <c r="B534" s="101"/>
      <c r="C534" s="101"/>
      <c r="K534" s="101"/>
    </row>
    <row r="535" spans="1:11" s="102" customFormat="1">
      <c r="A535" s="101"/>
      <c r="B535" s="101"/>
      <c r="C535" s="101"/>
      <c r="K535" s="101"/>
    </row>
    <row r="536" spans="1:11" s="102" customFormat="1">
      <c r="A536" s="101"/>
      <c r="B536" s="101"/>
      <c r="C536" s="101"/>
      <c r="K536" s="101"/>
    </row>
    <row r="537" spans="1:11" s="102" customFormat="1">
      <c r="A537" s="101"/>
      <c r="B537" s="101"/>
      <c r="C537" s="101"/>
      <c r="K537" s="101"/>
    </row>
    <row r="538" spans="1:11" s="102" customFormat="1">
      <c r="A538" s="101"/>
      <c r="B538" s="101"/>
      <c r="C538" s="101"/>
      <c r="K538" s="101"/>
    </row>
    <row r="539" spans="1:11" s="102" customFormat="1">
      <c r="A539" s="101"/>
      <c r="B539" s="101"/>
      <c r="C539" s="101"/>
      <c r="K539" s="101"/>
    </row>
    <row r="540" spans="1:11" s="102" customFormat="1">
      <c r="A540" s="101"/>
      <c r="B540" s="101"/>
      <c r="C540" s="101"/>
      <c r="K540" s="101"/>
    </row>
    <row r="541" spans="1:11" s="102" customFormat="1">
      <c r="A541" s="101"/>
      <c r="B541" s="101"/>
      <c r="C541" s="101"/>
      <c r="K541" s="101"/>
    </row>
    <row r="542" spans="1:11" s="102" customFormat="1">
      <c r="A542" s="101"/>
      <c r="B542" s="101"/>
      <c r="C542" s="101"/>
      <c r="K542" s="101"/>
    </row>
    <row r="543" spans="1:11" s="102" customFormat="1">
      <c r="A543" s="101"/>
      <c r="B543" s="101"/>
      <c r="C543" s="101"/>
      <c r="K543" s="101"/>
    </row>
    <row r="544" spans="1:11" s="102" customFormat="1">
      <c r="A544" s="101"/>
      <c r="B544" s="101"/>
      <c r="C544" s="101"/>
      <c r="K544" s="101"/>
    </row>
    <row r="545" spans="1:11" s="102" customFormat="1">
      <c r="A545" s="101"/>
      <c r="B545" s="101"/>
      <c r="C545" s="101"/>
      <c r="K545" s="101"/>
    </row>
    <row r="546" spans="1:11" s="102" customFormat="1">
      <c r="A546" s="101"/>
      <c r="B546" s="101"/>
      <c r="C546" s="101"/>
      <c r="K546" s="101"/>
    </row>
    <row r="547" spans="1:11" s="102" customFormat="1">
      <c r="A547" s="101"/>
      <c r="B547" s="101"/>
      <c r="C547" s="101"/>
      <c r="K547" s="101"/>
    </row>
    <row r="548" spans="1:11" s="102" customFormat="1">
      <c r="A548" s="101"/>
      <c r="B548" s="101"/>
      <c r="C548" s="101"/>
      <c r="K548" s="101"/>
    </row>
    <row r="549" spans="1:11" s="102" customFormat="1">
      <c r="A549" s="101"/>
      <c r="B549" s="101"/>
      <c r="C549" s="101"/>
      <c r="K549" s="101"/>
    </row>
    <row r="550" spans="1:11" s="102" customFormat="1">
      <c r="A550" s="101"/>
      <c r="B550" s="101"/>
      <c r="C550" s="101"/>
      <c r="K550" s="101"/>
    </row>
    <row r="551" spans="1:11" s="102" customFormat="1">
      <c r="A551" s="101"/>
      <c r="B551" s="101"/>
      <c r="C551" s="101"/>
      <c r="K551" s="101"/>
    </row>
    <row r="552" spans="1:11" s="102" customFormat="1">
      <c r="A552" s="101"/>
      <c r="B552" s="101"/>
      <c r="C552" s="101"/>
      <c r="K552" s="101"/>
    </row>
    <row r="553" spans="1:11" s="102" customFormat="1">
      <c r="A553" s="101"/>
      <c r="B553" s="101"/>
      <c r="C553" s="101"/>
      <c r="K553" s="101"/>
    </row>
    <row r="554" spans="1:11" s="102" customFormat="1">
      <c r="A554" s="101"/>
      <c r="B554" s="101"/>
      <c r="C554" s="101"/>
      <c r="K554" s="101"/>
    </row>
    <row r="555" spans="1:11" s="102" customFormat="1">
      <c r="A555" s="101"/>
      <c r="B555" s="101"/>
      <c r="C555" s="101"/>
      <c r="K555" s="101"/>
    </row>
    <row r="556" spans="1:11" s="102" customFormat="1">
      <c r="A556" s="101"/>
      <c r="B556" s="101"/>
      <c r="C556" s="101"/>
      <c r="K556" s="101"/>
    </row>
    <row r="557" spans="1:11" s="102" customFormat="1">
      <c r="A557" s="101"/>
      <c r="B557" s="101"/>
      <c r="C557" s="101"/>
      <c r="K557" s="101"/>
    </row>
    <row r="558" spans="1:11" s="102" customFormat="1">
      <c r="A558" s="101"/>
      <c r="B558" s="101"/>
      <c r="C558" s="101"/>
      <c r="K558" s="101"/>
    </row>
    <row r="559" spans="1:11" s="102" customFormat="1">
      <c r="A559" s="101"/>
      <c r="B559" s="101"/>
      <c r="C559" s="101"/>
      <c r="K559" s="101"/>
    </row>
    <row r="560" spans="1:11" s="102" customFormat="1">
      <c r="A560" s="101"/>
      <c r="B560" s="101"/>
      <c r="C560" s="101"/>
      <c r="K560" s="101"/>
    </row>
    <row r="561" spans="1:11" s="102" customFormat="1">
      <c r="A561" s="101"/>
      <c r="B561" s="101"/>
      <c r="C561" s="101"/>
      <c r="K561" s="101"/>
    </row>
    <row r="562" spans="1:11" s="102" customFormat="1">
      <c r="A562" s="101"/>
      <c r="B562" s="101"/>
      <c r="C562" s="101"/>
      <c r="K562" s="101"/>
    </row>
    <row r="563" spans="1:11" s="102" customFormat="1">
      <c r="A563" s="101"/>
      <c r="B563" s="101"/>
      <c r="C563" s="101"/>
      <c r="K563" s="101"/>
    </row>
    <row r="564" spans="1:11" s="102" customFormat="1">
      <c r="A564" s="101"/>
      <c r="B564" s="101"/>
      <c r="C564" s="101"/>
      <c r="K564" s="101"/>
    </row>
    <row r="565" spans="1:11" s="102" customFormat="1">
      <c r="A565" s="101"/>
      <c r="B565" s="101"/>
      <c r="C565" s="101"/>
      <c r="K565" s="101"/>
    </row>
    <row r="566" spans="1:11" s="102" customFormat="1">
      <c r="A566" s="101"/>
      <c r="B566" s="101"/>
      <c r="C566" s="101"/>
      <c r="K566" s="101"/>
    </row>
    <row r="567" spans="1:11" s="102" customFormat="1">
      <c r="A567" s="101"/>
      <c r="B567" s="101"/>
      <c r="C567" s="101"/>
      <c r="K567" s="101"/>
    </row>
    <row r="568" spans="1:11" s="102" customFormat="1">
      <c r="A568" s="101"/>
      <c r="B568" s="101"/>
      <c r="C568" s="101"/>
      <c r="K568" s="101"/>
    </row>
    <row r="569" spans="1:11" s="102" customFormat="1">
      <c r="A569" s="101"/>
      <c r="B569" s="101"/>
      <c r="C569" s="101"/>
      <c r="K569" s="101"/>
    </row>
    <row r="570" spans="1:11" s="102" customFormat="1">
      <c r="A570" s="101"/>
      <c r="B570" s="101"/>
      <c r="C570" s="101"/>
      <c r="K570" s="101"/>
    </row>
    <row r="571" spans="1:11" s="102" customFormat="1">
      <c r="A571" s="101"/>
      <c r="B571" s="101"/>
      <c r="C571" s="101"/>
      <c r="K571" s="101"/>
    </row>
    <row r="572" spans="1:11" s="102" customFormat="1">
      <c r="A572" s="101"/>
      <c r="B572" s="101"/>
      <c r="C572" s="101"/>
      <c r="K572" s="101"/>
    </row>
    <row r="573" spans="1:11" s="102" customFormat="1">
      <c r="A573" s="101"/>
      <c r="B573" s="101"/>
      <c r="C573" s="101"/>
      <c r="K573" s="101"/>
    </row>
    <row r="574" spans="1:11" s="102" customFormat="1">
      <c r="A574" s="101"/>
      <c r="B574" s="101"/>
      <c r="C574" s="101"/>
      <c r="K574" s="101"/>
    </row>
    <row r="575" spans="1:11" s="102" customFormat="1">
      <c r="A575" s="101"/>
      <c r="B575" s="101"/>
      <c r="C575" s="101"/>
      <c r="K575" s="101"/>
    </row>
    <row r="576" spans="1:11" s="102" customFormat="1">
      <c r="A576" s="101"/>
      <c r="B576" s="101"/>
      <c r="C576" s="101"/>
      <c r="K576" s="101"/>
    </row>
    <row r="577" spans="1:11" s="102" customFormat="1">
      <c r="A577" s="101"/>
      <c r="B577" s="101"/>
      <c r="C577" s="101"/>
      <c r="K577" s="101"/>
    </row>
    <row r="578" spans="1:11" s="102" customFormat="1">
      <c r="A578" s="101"/>
      <c r="B578" s="101"/>
      <c r="C578" s="101"/>
      <c r="K578" s="101"/>
    </row>
    <row r="579" spans="1:11" s="102" customFormat="1">
      <c r="A579" s="101"/>
      <c r="B579" s="101"/>
      <c r="C579" s="101"/>
      <c r="K579" s="101"/>
    </row>
    <row r="580" spans="1:11" s="102" customFormat="1">
      <c r="A580" s="101"/>
      <c r="B580" s="101"/>
      <c r="C580" s="101"/>
      <c r="K580" s="101"/>
    </row>
    <row r="581" spans="1:11" s="102" customFormat="1">
      <c r="A581" s="101"/>
      <c r="B581" s="101"/>
      <c r="C581" s="101"/>
      <c r="K581" s="101"/>
    </row>
    <row r="582" spans="1:11" s="102" customFormat="1">
      <c r="A582" s="101"/>
      <c r="B582" s="101"/>
      <c r="C582" s="101"/>
      <c r="K582" s="101"/>
    </row>
    <row r="583" spans="1:11" s="102" customFormat="1">
      <c r="A583" s="101"/>
      <c r="B583" s="101"/>
      <c r="C583" s="101"/>
      <c r="K583" s="101"/>
    </row>
    <row r="584" spans="1:11" s="102" customFormat="1">
      <c r="A584" s="101"/>
      <c r="B584" s="101"/>
      <c r="C584" s="101"/>
      <c r="K584" s="101"/>
    </row>
    <row r="585" spans="1:11" s="102" customFormat="1">
      <c r="A585" s="101"/>
      <c r="B585" s="101"/>
      <c r="C585" s="101"/>
      <c r="K585" s="101"/>
    </row>
    <row r="586" spans="1:11" s="102" customFormat="1">
      <c r="A586" s="101"/>
      <c r="B586" s="101"/>
      <c r="C586" s="101"/>
      <c r="K586" s="101"/>
    </row>
    <row r="587" spans="1:11" s="102" customFormat="1">
      <c r="A587" s="101"/>
      <c r="B587" s="101"/>
      <c r="C587" s="101"/>
      <c r="K587" s="101"/>
    </row>
    <row r="588" spans="1:11" s="102" customFormat="1">
      <c r="A588" s="101"/>
      <c r="B588" s="101"/>
      <c r="C588" s="101"/>
      <c r="K588" s="101"/>
    </row>
    <row r="589" spans="1:11" s="102" customFormat="1">
      <c r="A589" s="101"/>
      <c r="B589" s="101"/>
      <c r="C589" s="101"/>
      <c r="K589" s="101"/>
    </row>
    <row r="590" spans="1:11" s="102" customFormat="1">
      <c r="A590" s="101"/>
      <c r="B590" s="101"/>
      <c r="C590" s="101"/>
      <c r="K590" s="101"/>
    </row>
    <row r="591" spans="1:11" s="102" customFormat="1">
      <c r="A591" s="101"/>
      <c r="B591" s="101"/>
      <c r="C591" s="101"/>
      <c r="K591" s="101"/>
    </row>
    <row r="592" spans="1:11" s="102" customFormat="1">
      <c r="A592" s="101"/>
      <c r="B592" s="101"/>
      <c r="C592" s="101"/>
      <c r="K592" s="101"/>
    </row>
    <row r="593" spans="1:11" s="102" customFormat="1">
      <c r="A593" s="101"/>
      <c r="B593" s="101"/>
      <c r="C593" s="101"/>
      <c r="K593" s="101"/>
    </row>
    <row r="594" spans="1:11" s="102" customFormat="1">
      <c r="A594" s="101"/>
      <c r="B594" s="101"/>
      <c r="C594" s="101"/>
      <c r="K594" s="101"/>
    </row>
    <row r="595" spans="1:11" s="102" customFormat="1">
      <c r="A595" s="101"/>
      <c r="B595" s="101"/>
      <c r="C595" s="101"/>
      <c r="K595" s="101"/>
    </row>
    <row r="596" spans="1:11" s="102" customFormat="1">
      <c r="A596" s="101"/>
      <c r="B596" s="101"/>
      <c r="C596" s="101"/>
      <c r="K596" s="101"/>
    </row>
    <row r="597" spans="1:11" s="102" customFormat="1">
      <c r="A597" s="101"/>
      <c r="B597" s="101"/>
      <c r="C597" s="101"/>
      <c r="K597" s="101"/>
    </row>
    <row r="598" spans="1:11" s="102" customFormat="1">
      <c r="A598" s="101"/>
      <c r="B598" s="101"/>
      <c r="C598" s="101"/>
      <c r="K598" s="101"/>
    </row>
    <row r="599" spans="1:11" s="102" customFormat="1">
      <c r="A599" s="101"/>
      <c r="B599" s="101"/>
      <c r="C599" s="101"/>
      <c r="K599" s="101"/>
    </row>
    <row r="600" spans="1:11" s="102" customFormat="1">
      <c r="A600" s="101"/>
      <c r="B600" s="101"/>
      <c r="C600" s="101"/>
      <c r="K600" s="101"/>
    </row>
    <row r="601" spans="1:11" s="102" customFormat="1">
      <c r="A601" s="101"/>
      <c r="B601" s="101"/>
      <c r="C601" s="101"/>
      <c r="K601" s="101"/>
    </row>
    <row r="602" spans="1:11" s="102" customFormat="1">
      <c r="A602" s="101"/>
      <c r="B602" s="101"/>
      <c r="C602" s="101"/>
      <c r="K602" s="101"/>
    </row>
    <row r="603" spans="1:11" s="102" customFormat="1">
      <c r="A603" s="101"/>
      <c r="B603" s="101"/>
      <c r="C603" s="101"/>
      <c r="K603" s="101"/>
    </row>
    <row r="604" spans="1:11" s="102" customFormat="1">
      <c r="A604" s="101"/>
      <c r="B604" s="101"/>
      <c r="C604" s="101"/>
      <c r="K604" s="101"/>
    </row>
    <row r="605" spans="1:11" s="102" customFormat="1">
      <c r="A605" s="101"/>
      <c r="B605" s="101"/>
      <c r="C605" s="101"/>
      <c r="K605" s="101"/>
    </row>
    <row r="606" spans="1:11" s="102" customFormat="1">
      <c r="A606" s="101"/>
      <c r="B606" s="101"/>
      <c r="C606" s="101"/>
      <c r="K606" s="101"/>
    </row>
    <row r="607" spans="1:11" s="102" customFormat="1">
      <c r="A607" s="101"/>
      <c r="B607" s="101"/>
      <c r="C607" s="101"/>
      <c r="K607" s="101"/>
    </row>
    <row r="608" spans="1:11" s="102" customFormat="1">
      <c r="A608" s="101"/>
      <c r="B608" s="101"/>
      <c r="C608" s="101"/>
      <c r="K608" s="101"/>
    </row>
    <row r="609" spans="1:11" s="102" customFormat="1">
      <c r="A609" s="101"/>
      <c r="B609" s="101"/>
      <c r="C609" s="101"/>
      <c r="K609" s="101"/>
    </row>
    <row r="610" spans="1:11" s="102" customFormat="1">
      <c r="A610" s="101"/>
      <c r="B610" s="101"/>
      <c r="C610" s="101"/>
      <c r="K610" s="101"/>
    </row>
    <row r="611" spans="1:11" s="102" customFormat="1">
      <c r="A611" s="101"/>
      <c r="B611" s="101"/>
      <c r="C611" s="101"/>
      <c r="K611" s="101"/>
    </row>
    <row r="612" spans="1:11" s="102" customFormat="1">
      <c r="A612" s="101"/>
      <c r="B612" s="101"/>
      <c r="C612" s="101"/>
      <c r="K612" s="101"/>
    </row>
    <row r="613" spans="1:11" s="102" customFormat="1">
      <c r="A613" s="101"/>
      <c r="B613" s="101"/>
      <c r="C613" s="101"/>
      <c r="K613" s="101"/>
    </row>
    <row r="614" spans="1:11" s="102" customFormat="1">
      <c r="A614" s="101"/>
      <c r="B614" s="101"/>
      <c r="C614" s="101"/>
      <c r="K614" s="101"/>
    </row>
    <row r="615" spans="1:11" s="102" customFormat="1">
      <c r="A615" s="101"/>
      <c r="B615" s="101"/>
      <c r="C615" s="101"/>
      <c r="K615" s="101"/>
    </row>
    <row r="616" spans="1:11" s="102" customFormat="1">
      <c r="A616" s="101"/>
      <c r="B616" s="101"/>
      <c r="C616" s="101"/>
      <c r="K616" s="101"/>
    </row>
    <row r="617" spans="1:11" s="102" customFormat="1">
      <c r="A617" s="101"/>
      <c r="B617" s="101"/>
      <c r="C617" s="101"/>
      <c r="K617" s="101"/>
    </row>
    <row r="618" spans="1:11" s="102" customFormat="1">
      <c r="A618" s="101"/>
      <c r="B618" s="101"/>
      <c r="C618" s="101"/>
      <c r="K618" s="101"/>
    </row>
    <row r="619" spans="1:11" s="102" customFormat="1">
      <c r="A619" s="101"/>
      <c r="B619" s="101"/>
      <c r="C619" s="101"/>
      <c r="K619" s="101"/>
    </row>
    <row r="620" spans="1:11" s="102" customFormat="1">
      <c r="A620" s="101"/>
      <c r="B620" s="101"/>
      <c r="C620" s="101"/>
      <c r="K620" s="101"/>
    </row>
    <row r="621" spans="1:11" s="102" customFormat="1">
      <c r="A621" s="101"/>
      <c r="B621" s="101"/>
      <c r="C621" s="101"/>
      <c r="K621" s="101"/>
    </row>
    <row r="622" spans="1:11" s="102" customFormat="1">
      <c r="A622" s="101"/>
      <c r="B622" s="101"/>
      <c r="C622" s="101"/>
      <c r="K622" s="101"/>
    </row>
    <row r="623" spans="1:11" s="102" customFormat="1">
      <c r="A623" s="101"/>
      <c r="B623" s="101"/>
      <c r="C623" s="101"/>
      <c r="K623" s="101"/>
    </row>
    <row r="624" spans="1:11" s="102" customFormat="1">
      <c r="A624" s="101"/>
      <c r="B624" s="101"/>
      <c r="C624" s="101"/>
      <c r="K624" s="101"/>
    </row>
    <row r="625" spans="1:11" s="102" customFormat="1">
      <c r="A625" s="101"/>
      <c r="B625" s="101"/>
      <c r="C625" s="101"/>
      <c r="K625" s="101"/>
    </row>
    <row r="626" spans="1:11" s="102" customFormat="1">
      <c r="A626" s="101"/>
      <c r="B626" s="101"/>
      <c r="C626" s="101"/>
      <c r="K626" s="101"/>
    </row>
    <row r="627" spans="1:11" s="102" customFormat="1">
      <c r="A627" s="101"/>
      <c r="B627" s="101"/>
      <c r="C627" s="101"/>
      <c r="K627" s="101"/>
    </row>
    <row r="628" spans="1:11" s="102" customFormat="1">
      <c r="A628" s="101"/>
      <c r="B628" s="101"/>
      <c r="C628" s="101"/>
      <c r="K628" s="101"/>
    </row>
    <row r="629" spans="1:11" s="102" customFormat="1">
      <c r="A629" s="101"/>
      <c r="B629" s="101"/>
      <c r="C629" s="101"/>
      <c r="K629" s="101"/>
    </row>
    <row r="630" spans="1:11" s="102" customFormat="1">
      <c r="A630" s="101"/>
      <c r="B630" s="101"/>
      <c r="C630" s="101"/>
      <c r="K630" s="101"/>
    </row>
    <row r="631" spans="1:11" s="102" customFormat="1">
      <c r="A631" s="101"/>
      <c r="B631" s="101"/>
      <c r="C631" s="101"/>
      <c r="K631" s="101"/>
    </row>
    <row r="632" spans="1:11" s="102" customFormat="1">
      <c r="A632" s="101"/>
      <c r="B632" s="101"/>
      <c r="C632" s="101"/>
      <c r="K632" s="101"/>
    </row>
    <row r="633" spans="1:11" s="102" customFormat="1">
      <c r="A633" s="101"/>
      <c r="B633" s="101"/>
      <c r="C633" s="101"/>
      <c r="K633" s="101"/>
    </row>
    <row r="634" spans="1:11" s="102" customFormat="1">
      <c r="A634" s="101"/>
      <c r="B634" s="101"/>
      <c r="C634" s="101"/>
      <c r="K634" s="101"/>
    </row>
    <row r="635" spans="1:11" s="102" customFormat="1">
      <c r="A635" s="101"/>
      <c r="B635" s="101"/>
      <c r="C635" s="101"/>
      <c r="K635" s="101"/>
    </row>
    <row r="636" spans="1:11" s="102" customFormat="1">
      <c r="A636" s="101"/>
      <c r="B636" s="101"/>
      <c r="C636" s="101"/>
      <c r="K636" s="101"/>
    </row>
    <row r="637" spans="1:11" s="102" customFormat="1">
      <c r="A637" s="101"/>
      <c r="B637" s="101"/>
      <c r="C637" s="101"/>
      <c r="K637" s="101"/>
    </row>
    <row r="638" spans="1:11" s="102" customFormat="1">
      <c r="A638" s="101"/>
      <c r="B638" s="101"/>
      <c r="C638" s="101"/>
      <c r="K638" s="101"/>
    </row>
    <row r="639" spans="1:11" s="102" customFormat="1">
      <c r="A639" s="101"/>
      <c r="B639" s="101"/>
      <c r="C639" s="101"/>
      <c r="K639" s="101"/>
    </row>
    <row r="640" spans="1:11" s="102" customFormat="1">
      <c r="A640" s="101"/>
      <c r="B640" s="101"/>
      <c r="C640" s="101"/>
      <c r="K640" s="101"/>
    </row>
    <row r="641" spans="1:11" s="102" customFormat="1">
      <c r="A641" s="101"/>
      <c r="B641" s="101"/>
      <c r="C641" s="101"/>
      <c r="K641" s="101"/>
    </row>
    <row r="642" spans="1:11" s="102" customFormat="1">
      <c r="A642" s="101"/>
      <c r="B642" s="101"/>
      <c r="C642" s="101"/>
      <c r="K642" s="101"/>
    </row>
    <row r="643" spans="1:11" s="102" customFormat="1">
      <c r="A643" s="101"/>
      <c r="B643" s="101"/>
      <c r="C643" s="101"/>
      <c r="K643" s="101"/>
    </row>
    <row r="644" spans="1:11" s="102" customFormat="1">
      <c r="A644" s="101"/>
      <c r="B644" s="101"/>
      <c r="C644" s="101"/>
      <c r="K644" s="101"/>
    </row>
    <row r="645" spans="1:11" s="102" customFormat="1">
      <c r="A645" s="101"/>
      <c r="B645" s="101"/>
      <c r="C645" s="101"/>
      <c r="K645" s="101"/>
    </row>
    <row r="646" spans="1:11" s="102" customFormat="1">
      <c r="A646" s="101"/>
      <c r="B646" s="101"/>
      <c r="C646" s="101"/>
      <c r="K646" s="101"/>
    </row>
    <row r="647" spans="1:11" s="102" customFormat="1">
      <c r="A647" s="101"/>
      <c r="B647" s="101"/>
      <c r="C647" s="101"/>
      <c r="K647" s="101"/>
    </row>
    <row r="648" spans="1:11" s="102" customFormat="1">
      <c r="A648" s="101"/>
      <c r="B648" s="101"/>
      <c r="C648" s="101"/>
      <c r="K648" s="101"/>
    </row>
    <row r="649" spans="1:11" s="102" customFormat="1">
      <c r="A649" s="101"/>
      <c r="B649" s="101"/>
      <c r="C649" s="101"/>
      <c r="K649" s="101"/>
    </row>
    <row r="650" spans="1:11" s="102" customFormat="1">
      <c r="A650" s="101"/>
      <c r="B650" s="101"/>
      <c r="C650" s="101"/>
      <c r="K650" s="101"/>
    </row>
    <row r="651" spans="1:11" s="102" customFormat="1">
      <c r="A651" s="101"/>
      <c r="B651" s="101"/>
      <c r="C651" s="101"/>
      <c r="K651" s="101"/>
    </row>
    <row r="652" spans="1:11" s="102" customFormat="1">
      <c r="A652" s="101"/>
      <c r="B652" s="101"/>
      <c r="C652" s="101"/>
      <c r="K652" s="101"/>
    </row>
    <row r="653" spans="1:11" s="102" customFormat="1">
      <c r="A653" s="101"/>
      <c r="B653" s="101"/>
      <c r="C653" s="101"/>
      <c r="K653" s="101"/>
    </row>
    <row r="654" spans="1:11" s="102" customFormat="1">
      <c r="A654" s="101"/>
      <c r="B654" s="101"/>
      <c r="C654" s="101"/>
      <c r="K654" s="101"/>
    </row>
    <row r="655" spans="1:11" s="102" customFormat="1">
      <c r="A655" s="101"/>
      <c r="B655" s="101"/>
      <c r="C655" s="101"/>
      <c r="K655" s="101"/>
    </row>
    <row r="656" spans="1:11" s="102" customFormat="1">
      <c r="A656" s="101"/>
      <c r="B656" s="101"/>
      <c r="C656" s="101"/>
      <c r="K656" s="101"/>
    </row>
    <row r="657" spans="1:11" s="102" customFormat="1">
      <c r="A657" s="101"/>
      <c r="B657" s="101"/>
      <c r="C657" s="101"/>
      <c r="K657" s="101"/>
    </row>
    <row r="658" spans="1:11" s="102" customFormat="1">
      <c r="A658" s="101"/>
      <c r="B658" s="101"/>
      <c r="C658" s="101"/>
      <c r="K658" s="101"/>
    </row>
    <row r="659" spans="1:11" s="102" customFormat="1">
      <c r="A659" s="101"/>
      <c r="B659" s="101"/>
      <c r="C659" s="101"/>
      <c r="K659" s="101"/>
    </row>
    <row r="660" spans="1:11" s="102" customFormat="1">
      <c r="A660" s="101"/>
      <c r="B660" s="101"/>
      <c r="C660" s="101"/>
      <c r="K660" s="101"/>
    </row>
    <row r="661" spans="1:11" s="102" customFormat="1">
      <c r="A661" s="101"/>
      <c r="B661" s="101"/>
      <c r="C661" s="101"/>
      <c r="K661" s="101"/>
    </row>
    <row r="662" spans="1:11" s="102" customFormat="1">
      <c r="A662" s="101"/>
      <c r="B662" s="101"/>
      <c r="C662" s="101"/>
      <c r="K662" s="101"/>
    </row>
    <row r="663" spans="1:11" s="102" customFormat="1">
      <c r="A663" s="101"/>
      <c r="B663" s="101"/>
      <c r="C663" s="101"/>
      <c r="K663" s="101"/>
    </row>
    <row r="664" spans="1:11" s="102" customFormat="1">
      <c r="A664" s="101"/>
      <c r="B664" s="101"/>
      <c r="C664" s="101"/>
      <c r="K664" s="101"/>
    </row>
    <row r="665" spans="1:11" s="102" customFormat="1">
      <c r="A665" s="101"/>
      <c r="B665" s="101"/>
      <c r="C665" s="101"/>
      <c r="K665" s="101"/>
    </row>
    <row r="666" spans="1:11" s="102" customFormat="1">
      <c r="A666" s="101"/>
      <c r="B666" s="101"/>
      <c r="C666" s="101"/>
      <c r="K666" s="101"/>
    </row>
    <row r="667" spans="1:11" s="102" customFormat="1">
      <c r="A667" s="101"/>
      <c r="B667" s="101"/>
      <c r="C667" s="101"/>
      <c r="K667" s="101"/>
    </row>
    <row r="668" spans="1:11" s="102" customFormat="1">
      <c r="A668" s="101"/>
      <c r="B668" s="101"/>
      <c r="C668" s="101"/>
      <c r="K668" s="101"/>
    </row>
    <row r="669" spans="1:11" s="102" customFormat="1">
      <c r="A669" s="101"/>
      <c r="B669" s="101"/>
      <c r="C669" s="101"/>
      <c r="K669" s="101"/>
    </row>
    <row r="670" spans="1:11" s="102" customFormat="1">
      <c r="A670" s="101"/>
      <c r="B670" s="101"/>
      <c r="C670" s="101"/>
      <c r="K670" s="101"/>
    </row>
    <row r="671" spans="1:11" s="102" customFormat="1">
      <c r="A671" s="101"/>
      <c r="B671" s="101"/>
      <c r="C671" s="101"/>
      <c r="K671" s="101"/>
    </row>
    <row r="672" spans="1:11" s="102" customFormat="1">
      <c r="A672" s="101"/>
      <c r="B672" s="101"/>
      <c r="C672" s="101"/>
      <c r="K672" s="101"/>
    </row>
    <row r="673" spans="1:11" s="102" customFormat="1">
      <c r="A673" s="101"/>
      <c r="B673" s="101"/>
      <c r="C673" s="101"/>
      <c r="K673" s="101"/>
    </row>
    <row r="674" spans="1:11" s="102" customFormat="1">
      <c r="A674" s="101"/>
      <c r="B674" s="101"/>
      <c r="C674" s="101"/>
      <c r="K674" s="101"/>
    </row>
    <row r="675" spans="1:11" s="102" customFormat="1">
      <c r="A675" s="101"/>
      <c r="B675" s="101"/>
      <c r="C675" s="101"/>
      <c r="K675" s="101"/>
    </row>
    <row r="676" spans="1:11" s="102" customFormat="1">
      <c r="A676" s="101"/>
      <c r="B676" s="101"/>
      <c r="C676" s="101"/>
      <c r="K676" s="101"/>
    </row>
    <row r="677" spans="1:11" s="102" customFormat="1">
      <c r="A677" s="101"/>
      <c r="B677" s="101"/>
      <c r="C677" s="101"/>
      <c r="K677" s="101"/>
    </row>
    <row r="678" spans="1:11" s="102" customFormat="1">
      <c r="A678" s="101"/>
      <c r="B678" s="101"/>
      <c r="C678" s="101"/>
      <c r="K678" s="101"/>
    </row>
    <row r="679" spans="1:11" s="102" customFormat="1">
      <c r="A679" s="101"/>
      <c r="B679" s="101"/>
      <c r="C679" s="101"/>
      <c r="K679" s="101"/>
    </row>
    <row r="680" spans="1:11" s="102" customFormat="1">
      <c r="A680" s="101"/>
      <c r="B680" s="101"/>
      <c r="C680" s="101"/>
      <c r="K680" s="101"/>
    </row>
    <row r="681" spans="1:11" s="102" customFormat="1">
      <c r="A681" s="101"/>
      <c r="B681" s="101"/>
      <c r="C681" s="101"/>
      <c r="K681" s="101"/>
    </row>
    <row r="682" spans="1:11" s="102" customFormat="1">
      <c r="A682" s="101"/>
      <c r="B682" s="101"/>
      <c r="C682" s="101"/>
      <c r="K682" s="101"/>
    </row>
    <row r="683" spans="1:11" s="102" customFormat="1">
      <c r="A683" s="101"/>
      <c r="B683" s="101"/>
      <c r="C683" s="101"/>
      <c r="K683" s="101"/>
    </row>
    <row r="684" spans="1:11" s="102" customFormat="1">
      <c r="A684" s="101"/>
      <c r="B684" s="101"/>
      <c r="C684" s="101"/>
      <c r="K684" s="101"/>
    </row>
    <row r="685" spans="1:11" s="102" customFormat="1">
      <c r="A685" s="101"/>
      <c r="B685" s="101"/>
      <c r="C685" s="101"/>
      <c r="K685" s="101"/>
    </row>
    <row r="686" spans="1:11" s="102" customFormat="1">
      <c r="A686" s="101"/>
      <c r="B686" s="101"/>
      <c r="C686" s="101"/>
      <c r="K686" s="101"/>
    </row>
    <row r="687" spans="1:11" s="102" customFormat="1">
      <c r="A687" s="101"/>
      <c r="B687" s="101"/>
      <c r="C687" s="101"/>
      <c r="K687" s="101"/>
    </row>
    <row r="688" spans="1:11" s="102" customFormat="1">
      <c r="A688" s="101"/>
      <c r="B688" s="101"/>
      <c r="C688" s="101"/>
      <c r="K688" s="101"/>
    </row>
    <row r="689" spans="1:11" s="102" customFormat="1">
      <c r="A689" s="101"/>
      <c r="B689" s="101"/>
      <c r="C689" s="101"/>
      <c r="K689" s="101"/>
    </row>
    <row r="690" spans="1:11" s="102" customFormat="1">
      <c r="A690" s="101"/>
      <c r="B690" s="101"/>
      <c r="C690" s="101"/>
      <c r="K690" s="101"/>
    </row>
    <row r="691" spans="1:11" s="102" customFormat="1">
      <c r="A691" s="101"/>
      <c r="B691" s="101"/>
      <c r="C691" s="101"/>
      <c r="K691" s="101"/>
    </row>
    <row r="692" spans="1:11" s="102" customFormat="1">
      <c r="A692" s="101"/>
      <c r="B692" s="101"/>
      <c r="C692" s="101"/>
      <c r="K692" s="101"/>
    </row>
    <row r="693" spans="1:11" s="102" customFormat="1">
      <c r="A693" s="101"/>
      <c r="B693" s="101"/>
      <c r="C693" s="101"/>
      <c r="K693" s="101"/>
    </row>
    <row r="694" spans="1:11" s="102" customFormat="1">
      <c r="A694" s="101"/>
      <c r="B694" s="101"/>
      <c r="C694" s="101"/>
      <c r="K694" s="101"/>
    </row>
    <row r="695" spans="1:11" s="102" customFormat="1">
      <c r="A695" s="101"/>
      <c r="B695" s="101"/>
      <c r="C695" s="101"/>
      <c r="K695" s="101"/>
    </row>
    <row r="696" spans="1:11" s="102" customFormat="1">
      <c r="A696" s="101"/>
      <c r="B696" s="101"/>
      <c r="C696" s="101"/>
      <c r="K696" s="101"/>
    </row>
    <row r="697" spans="1:11" s="102" customFormat="1">
      <c r="A697" s="101"/>
      <c r="B697" s="101"/>
      <c r="C697" s="101"/>
      <c r="K697" s="101"/>
    </row>
    <row r="698" spans="1:11" s="102" customFormat="1">
      <c r="A698" s="101"/>
      <c r="B698" s="101"/>
      <c r="C698" s="101"/>
      <c r="K698" s="101"/>
    </row>
    <row r="699" spans="1:11" s="102" customFormat="1">
      <c r="A699" s="101"/>
      <c r="B699" s="101"/>
      <c r="C699" s="101"/>
      <c r="K699" s="101"/>
    </row>
    <row r="700" spans="1:11" s="102" customFormat="1">
      <c r="A700" s="101"/>
      <c r="B700" s="101"/>
      <c r="C700" s="101"/>
      <c r="K700" s="101"/>
    </row>
    <row r="701" spans="1:11" s="102" customFormat="1">
      <c r="A701" s="101"/>
      <c r="B701" s="101"/>
      <c r="C701" s="101"/>
      <c r="K701" s="101"/>
    </row>
    <row r="702" spans="1:11" s="102" customFormat="1">
      <c r="A702" s="101"/>
      <c r="B702" s="101"/>
      <c r="C702" s="101"/>
      <c r="K702" s="101"/>
    </row>
    <row r="703" spans="1:11" s="102" customFormat="1">
      <c r="A703" s="101"/>
      <c r="B703" s="101"/>
      <c r="C703" s="101"/>
      <c r="K703" s="101"/>
    </row>
    <row r="704" spans="1:11" s="102" customFormat="1">
      <c r="A704" s="101"/>
      <c r="B704" s="101"/>
      <c r="C704" s="101"/>
      <c r="K704" s="101"/>
    </row>
    <row r="705" spans="1:11" s="102" customFormat="1">
      <c r="A705" s="101"/>
      <c r="B705" s="101"/>
      <c r="C705" s="101"/>
      <c r="K705" s="101"/>
    </row>
    <row r="706" spans="1:11" s="102" customFormat="1">
      <c r="A706" s="101"/>
      <c r="B706" s="101"/>
      <c r="C706" s="101"/>
      <c r="K706" s="101"/>
    </row>
    <row r="707" spans="1:11" s="102" customFormat="1">
      <c r="A707" s="101"/>
      <c r="B707" s="101"/>
      <c r="C707" s="101"/>
      <c r="K707" s="101"/>
    </row>
    <row r="708" spans="1:11" s="102" customFormat="1">
      <c r="A708" s="101"/>
      <c r="B708" s="101"/>
      <c r="C708" s="101"/>
      <c r="K708" s="101"/>
    </row>
    <row r="709" spans="1:11" s="102" customFormat="1">
      <c r="A709" s="101"/>
      <c r="B709" s="101"/>
      <c r="C709" s="101"/>
      <c r="K709" s="101"/>
    </row>
    <row r="710" spans="1:11" s="102" customFormat="1">
      <c r="A710" s="101"/>
      <c r="B710" s="101"/>
      <c r="C710" s="101"/>
      <c r="K710" s="101"/>
    </row>
    <row r="711" spans="1:11" s="102" customFormat="1">
      <c r="A711" s="101"/>
      <c r="B711" s="101"/>
      <c r="C711" s="101"/>
      <c r="K711" s="101"/>
    </row>
    <row r="712" spans="1:11" s="102" customFormat="1">
      <c r="A712" s="101"/>
      <c r="B712" s="101"/>
      <c r="C712" s="101"/>
      <c r="K712" s="101"/>
    </row>
    <row r="713" spans="1:11" s="102" customFormat="1">
      <c r="A713" s="101"/>
      <c r="B713" s="101"/>
      <c r="C713" s="101"/>
      <c r="K713" s="101"/>
    </row>
    <row r="714" spans="1:11" s="102" customFormat="1">
      <c r="A714" s="101"/>
      <c r="B714" s="101"/>
      <c r="C714" s="101"/>
      <c r="K714" s="101"/>
    </row>
    <row r="715" spans="1:11" s="102" customFormat="1">
      <c r="A715" s="101"/>
      <c r="B715" s="101"/>
      <c r="C715" s="101"/>
      <c r="K715" s="101"/>
    </row>
    <row r="716" spans="1:11" s="102" customFormat="1">
      <c r="A716" s="101"/>
      <c r="B716" s="101"/>
      <c r="C716" s="101"/>
      <c r="K716" s="101"/>
    </row>
    <row r="717" spans="1:11" s="102" customFormat="1">
      <c r="A717" s="101"/>
      <c r="B717" s="101"/>
      <c r="C717" s="101"/>
      <c r="K717" s="101"/>
    </row>
    <row r="718" spans="1:11" s="102" customFormat="1">
      <c r="A718" s="101"/>
      <c r="B718" s="101"/>
      <c r="C718" s="101"/>
      <c r="K718" s="101"/>
    </row>
    <row r="719" spans="1:11" s="102" customFormat="1">
      <c r="A719" s="101"/>
      <c r="B719" s="101"/>
      <c r="C719" s="101"/>
      <c r="K719" s="101"/>
    </row>
    <row r="720" spans="1:11" s="102" customFormat="1">
      <c r="A720" s="101"/>
      <c r="B720" s="101"/>
      <c r="C720" s="101"/>
      <c r="K720" s="101"/>
    </row>
    <row r="721" spans="1:11" s="102" customFormat="1">
      <c r="A721" s="101"/>
      <c r="B721" s="101"/>
      <c r="C721" s="101"/>
      <c r="K721" s="101"/>
    </row>
    <row r="722" spans="1:11" s="102" customFormat="1">
      <c r="A722" s="101"/>
      <c r="B722" s="101"/>
      <c r="C722" s="101"/>
      <c r="K722" s="101"/>
    </row>
    <row r="723" spans="1:11" s="102" customFormat="1">
      <c r="A723" s="101"/>
      <c r="B723" s="101"/>
      <c r="C723" s="101"/>
      <c r="K723" s="101"/>
    </row>
    <row r="724" spans="1:11" s="102" customFormat="1">
      <c r="A724" s="101"/>
      <c r="B724" s="101"/>
      <c r="C724" s="101"/>
      <c r="K724" s="101"/>
    </row>
    <row r="725" spans="1:11" s="102" customFormat="1">
      <c r="A725" s="101"/>
      <c r="B725" s="101"/>
      <c r="C725" s="101"/>
      <c r="K725" s="101"/>
    </row>
    <row r="726" spans="1:11" s="102" customFormat="1">
      <c r="A726" s="101"/>
      <c r="B726" s="101"/>
      <c r="C726" s="101"/>
      <c r="K726" s="101"/>
    </row>
    <row r="727" spans="1:11" s="102" customFormat="1">
      <c r="A727" s="101"/>
      <c r="B727" s="101"/>
      <c r="C727" s="101"/>
      <c r="K727" s="101"/>
    </row>
    <row r="728" spans="1:11" s="102" customFormat="1">
      <c r="A728" s="101"/>
      <c r="B728" s="101"/>
      <c r="C728" s="101"/>
      <c r="K728" s="101"/>
    </row>
    <row r="729" spans="1:11" s="102" customFormat="1">
      <c r="A729" s="101"/>
      <c r="B729" s="101"/>
      <c r="C729" s="101"/>
      <c r="K729" s="101"/>
    </row>
    <row r="730" spans="1:11" s="102" customFormat="1">
      <c r="A730" s="101"/>
      <c r="B730" s="101"/>
      <c r="C730" s="101"/>
      <c r="K730" s="101"/>
    </row>
    <row r="731" spans="1:11" s="102" customFormat="1">
      <c r="A731" s="101"/>
      <c r="B731" s="101"/>
      <c r="C731" s="101"/>
      <c r="K731" s="101"/>
    </row>
    <row r="732" spans="1:11" s="102" customFormat="1">
      <c r="A732" s="101"/>
      <c r="B732" s="101"/>
      <c r="C732" s="101"/>
      <c r="K732" s="101"/>
    </row>
    <row r="733" spans="1:11" s="102" customFormat="1">
      <c r="A733" s="101"/>
      <c r="B733" s="101"/>
      <c r="C733" s="101"/>
      <c r="K733" s="101"/>
    </row>
    <row r="734" spans="1:11" s="102" customFormat="1">
      <c r="A734" s="101"/>
      <c r="B734" s="101"/>
      <c r="C734" s="101"/>
      <c r="K734" s="101"/>
    </row>
    <row r="735" spans="1:11" s="102" customFormat="1">
      <c r="A735" s="101"/>
      <c r="B735" s="101"/>
      <c r="C735" s="101"/>
      <c r="K735" s="101"/>
    </row>
    <row r="736" spans="1:11" s="102" customFormat="1">
      <c r="A736" s="101"/>
      <c r="B736" s="101"/>
      <c r="C736" s="101"/>
      <c r="K736" s="101"/>
    </row>
    <row r="737" spans="1:11" s="102" customFormat="1">
      <c r="A737" s="101"/>
      <c r="B737" s="101"/>
      <c r="C737" s="101"/>
      <c r="K737" s="101"/>
    </row>
    <row r="738" spans="1:11" s="102" customFormat="1">
      <c r="A738" s="101"/>
      <c r="B738" s="101"/>
      <c r="C738" s="101"/>
      <c r="K738" s="101"/>
    </row>
    <row r="739" spans="1:11" s="102" customFormat="1">
      <c r="A739" s="101"/>
      <c r="B739" s="101"/>
      <c r="C739" s="101"/>
      <c r="K739" s="101"/>
    </row>
    <row r="740" spans="1:11" s="102" customFormat="1">
      <c r="A740" s="101"/>
      <c r="B740" s="101"/>
      <c r="C740" s="101"/>
      <c r="K740" s="101"/>
    </row>
    <row r="741" spans="1:11" s="102" customFormat="1">
      <c r="A741" s="101"/>
      <c r="B741" s="101"/>
      <c r="C741" s="101"/>
      <c r="K741" s="101"/>
    </row>
    <row r="742" spans="1:11" s="102" customFormat="1">
      <c r="A742" s="101"/>
      <c r="B742" s="101"/>
      <c r="C742" s="101"/>
      <c r="K742" s="101"/>
    </row>
    <row r="743" spans="1:11" s="102" customFormat="1">
      <c r="A743" s="101"/>
      <c r="B743" s="101"/>
      <c r="C743" s="101"/>
      <c r="K743" s="101"/>
    </row>
    <row r="744" spans="1:11" s="102" customFormat="1">
      <c r="A744" s="101"/>
      <c r="B744" s="101"/>
      <c r="C744" s="101"/>
      <c r="K744" s="101"/>
    </row>
    <row r="745" spans="1:11" s="102" customFormat="1">
      <c r="A745" s="101"/>
      <c r="B745" s="101"/>
      <c r="C745" s="101"/>
      <c r="K745" s="101"/>
    </row>
    <row r="746" spans="1:11" s="102" customFormat="1">
      <c r="A746" s="101"/>
      <c r="B746" s="101"/>
      <c r="C746" s="101"/>
      <c r="K746" s="101"/>
    </row>
    <row r="747" spans="1:11" s="102" customFormat="1">
      <c r="A747" s="101"/>
      <c r="B747" s="101"/>
      <c r="C747" s="101"/>
      <c r="K747" s="101"/>
    </row>
    <row r="748" spans="1:11" s="102" customFormat="1">
      <c r="A748" s="101"/>
      <c r="B748" s="101"/>
      <c r="C748" s="101"/>
      <c r="K748" s="101"/>
    </row>
    <row r="749" spans="1:11" s="102" customFormat="1">
      <c r="A749" s="101"/>
      <c r="B749" s="101"/>
      <c r="C749" s="101"/>
      <c r="K749" s="101"/>
    </row>
    <row r="750" spans="1:11" s="102" customFormat="1">
      <c r="A750" s="101"/>
      <c r="B750" s="101"/>
      <c r="C750" s="101"/>
      <c r="K750" s="101"/>
    </row>
    <row r="751" spans="1:11" s="102" customFormat="1">
      <c r="A751" s="101"/>
      <c r="B751" s="101"/>
      <c r="C751" s="101"/>
      <c r="K751" s="101"/>
    </row>
    <row r="752" spans="1:11" s="102" customFormat="1">
      <c r="A752" s="101"/>
      <c r="B752" s="101"/>
      <c r="C752" s="101"/>
      <c r="K752" s="101"/>
    </row>
    <row r="753" spans="1:11" s="102" customFormat="1">
      <c r="A753" s="101"/>
      <c r="B753" s="101"/>
      <c r="C753" s="101"/>
      <c r="K753" s="101"/>
    </row>
    <row r="754" spans="1:11" s="102" customFormat="1">
      <c r="A754" s="101"/>
      <c r="B754" s="101"/>
      <c r="C754" s="101"/>
      <c r="K754" s="101"/>
    </row>
    <row r="755" spans="1:11" s="102" customFormat="1">
      <c r="A755" s="101"/>
      <c r="B755" s="101"/>
      <c r="C755" s="101"/>
      <c r="K755" s="101"/>
    </row>
    <row r="756" spans="1:11" s="102" customFormat="1">
      <c r="A756" s="101"/>
      <c r="B756" s="101"/>
      <c r="C756" s="101"/>
      <c r="K756" s="101"/>
    </row>
    <row r="757" spans="1:11" s="102" customFormat="1">
      <c r="A757" s="101"/>
      <c r="B757" s="101"/>
      <c r="C757" s="101"/>
      <c r="K757" s="101"/>
    </row>
    <row r="758" spans="1:11" s="102" customFormat="1">
      <c r="A758" s="101"/>
      <c r="B758" s="101"/>
      <c r="C758" s="101"/>
      <c r="K758" s="101"/>
    </row>
    <row r="759" spans="1:11" s="102" customFormat="1">
      <c r="A759" s="101"/>
      <c r="B759" s="101"/>
      <c r="C759" s="101"/>
      <c r="K759" s="101"/>
    </row>
    <row r="760" spans="1:11" s="102" customFormat="1">
      <c r="A760" s="101"/>
      <c r="B760" s="101"/>
      <c r="C760" s="101"/>
      <c r="K760" s="101"/>
    </row>
    <row r="761" spans="1:11" s="102" customFormat="1">
      <c r="A761" s="101"/>
      <c r="B761" s="101"/>
      <c r="C761" s="101"/>
      <c r="K761" s="101"/>
    </row>
    <row r="762" spans="1:11" s="102" customFormat="1">
      <c r="A762" s="101"/>
      <c r="B762" s="101"/>
      <c r="C762" s="101"/>
      <c r="K762" s="101"/>
    </row>
    <row r="763" spans="1:11" s="102" customFormat="1">
      <c r="A763" s="101"/>
      <c r="B763" s="101"/>
      <c r="C763" s="101"/>
      <c r="K763" s="101"/>
    </row>
    <row r="764" spans="1:11" s="102" customFormat="1">
      <c r="A764" s="101"/>
      <c r="B764" s="101"/>
      <c r="C764" s="101"/>
      <c r="K764" s="101"/>
    </row>
    <row r="765" spans="1:11" s="102" customFormat="1">
      <c r="A765" s="101"/>
      <c r="B765" s="101"/>
      <c r="C765" s="101"/>
      <c r="K765" s="101"/>
    </row>
    <row r="766" spans="1:11" s="102" customFormat="1">
      <c r="A766" s="101"/>
      <c r="B766" s="101"/>
      <c r="C766" s="101"/>
      <c r="K766" s="101"/>
    </row>
    <row r="767" spans="1:11" s="102" customFormat="1">
      <c r="A767" s="101"/>
      <c r="B767" s="101"/>
      <c r="C767" s="101"/>
      <c r="K767" s="101"/>
    </row>
    <row r="768" spans="1:11" s="102" customFormat="1">
      <c r="A768" s="101"/>
      <c r="B768" s="101"/>
      <c r="C768" s="101"/>
      <c r="K768" s="101"/>
    </row>
    <row r="769" spans="1:22" s="102" customFormat="1">
      <c r="A769" s="101"/>
      <c r="B769" s="101"/>
      <c r="C769" s="101"/>
      <c r="K769" s="101"/>
    </row>
    <row r="770" spans="1:22" s="102" customFormat="1">
      <c r="A770" s="101"/>
      <c r="B770" s="101"/>
      <c r="C770" s="101"/>
      <c r="K770" s="101"/>
    </row>
    <row r="771" spans="1:22" s="102" customFormat="1">
      <c r="A771" s="101"/>
      <c r="B771" s="101"/>
      <c r="C771" s="101"/>
      <c r="K771" s="101"/>
    </row>
    <row r="772" spans="1:22" s="102" customFormat="1">
      <c r="A772" s="101"/>
      <c r="B772" s="101"/>
      <c r="C772" s="101"/>
      <c r="K772" s="101"/>
    </row>
    <row r="773" spans="1:22" s="102" customFormat="1">
      <c r="A773" s="101"/>
      <c r="B773" s="101"/>
      <c r="C773" s="101"/>
      <c r="K773" s="101"/>
    </row>
    <row r="774" spans="1:22" s="102" customFormat="1">
      <c r="A774" s="101"/>
      <c r="B774" s="101"/>
      <c r="C774" s="101"/>
      <c r="K774" s="101"/>
    </row>
    <row r="775" spans="1:22" s="102" customFormat="1">
      <c r="A775" s="101"/>
      <c r="B775" s="101"/>
      <c r="C775" s="101"/>
      <c r="K775" s="101"/>
    </row>
    <row r="776" spans="1:22" s="102" customFormat="1">
      <c r="A776" s="101"/>
      <c r="B776" s="101"/>
      <c r="C776" s="101"/>
      <c r="K776" s="101"/>
    </row>
    <row r="777" spans="1:22" s="102" customFormat="1">
      <c r="A777" s="101"/>
      <c r="B777" s="101"/>
      <c r="C777" s="101"/>
      <c r="K777" s="101"/>
    </row>
    <row r="778" spans="1:22" s="102" customFormat="1">
      <c r="A778" s="101"/>
      <c r="B778" s="101"/>
      <c r="C778" s="101"/>
      <c r="K778" s="101"/>
    </row>
    <row r="779" spans="1:22" s="102" customFormat="1">
      <c r="A779" s="101"/>
      <c r="B779" s="101"/>
      <c r="C779" s="101"/>
      <c r="K779" s="101"/>
      <c r="T779" s="53"/>
      <c r="U779" s="53"/>
      <c r="V779" s="53"/>
    </row>
  </sheetData>
  <sortState ref="A12:V22">
    <sortCondition ref="F12:F22"/>
  </sortState>
  <mergeCells count="4">
    <mergeCell ref="A5:C5"/>
    <mergeCell ref="I6:P6"/>
    <mergeCell ref="B8:C8"/>
    <mergeCell ref="R9:R10"/>
  </mergeCells>
  <hyperlinks>
    <hyperlink ref="K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6"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T782"/>
  <sheetViews>
    <sheetView showGridLines="0" zoomScale="85" zoomScaleNormal="85" workbookViewId="0">
      <pane xSplit="7" ySplit="9" topLeftCell="H10" activePane="bottomRight" state="frozen"/>
      <selection activeCell="C36" sqref="C36"/>
      <selection pane="topRight" activeCell="C36" sqref="C36"/>
      <selection pane="bottomLeft" activeCell="C36" sqref="C36"/>
      <selection pane="bottomRight" activeCell="R52" sqref="R52"/>
    </sheetView>
  </sheetViews>
  <sheetFormatPr defaultRowHeight="12.75" outlineLevelRow="1"/>
  <cols>
    <col min="1" max="1" width="7.28515625" style="453" customWidth="1"/>
    <col min="2" max="2" width="5" style="453" customWidth="1"/>
    <col min="3" max="3" width="9" style="453" customWidth="1"/>
    <col min="4" max="4" width="25.140625" style="53" customWidth="1"/>
    <col min="5" max="5" width="10.28515625" style="53" customWidth="1"/>
    <col min="6" max="6" width="13.28515625" style="53" customWidth="1"/>
    <col min="7" max="7" width="10.42578125" style="53" customWidth="1"/>
    <col min="8" max="8" width="17.85546875" style="604" customWidth="1"/>
    <col min="9" max="9" width="14" style="53" customWidth="1"/>
    <col min="10" max="10" width="17.28515625" style="604" customWidth="1"/>
    <col min="11" max="11" width="16.42578125" style="604" customWidth="1"/>
    <col min="12" max="12" width="18.5703125" style="604" customWidth="1"/>
    <col min="13" max="13" width="15.5703125" style="604" customWidth="1"/>
    <col min="14" max="14" width="21.42578125" style="604" customWidth="1"/>
    <col min="15" max="15" width="18.28515625" style="604" customWidth="1"/>
    <col min="16" max="16" width="7.7109375" style="53" customWidth="1"/>
    <col min="17" max="17" width="4" style="53" customWidth="1"/>
    <col min="18" max="18" width="19.42578125" style="53" customWidth="1"/>
    <col min="19" max="19" width="16.5703125" style="53" customWidth="1"/>
    <col min="20" max="20" width="26.85546875" style="53" customWidth="1"/>
    <col min="21" max="16384" width="9.140625" style="53"/>
  </cols>
  <sheetData>
    <row r="1" spans="1:20" ht="13.5" thickBot="1">
      <c r="H1" s="102"/>
      <c r="I1" s="103" t="s">
        <v>1159</v>
      </c>
      <c r="J1" s="102"/>
      <c r="K1" s="102"/>
      <c r="L1" s="703" t="s">
        <v>1123</v>
      </c>
      <c r="M1" s="102"/>
      <c r="N1" s="102"/>
      <c r="O1" s="103"/>
    </row>
    <row r="2" spans="1:20">
      <c r="H2" s="102"/>
      <c r="I2" s="103" t="s">
        <v>1705</v>
      </c>
      <c r="J2" s="102"/>
      <c r="K2" s="102"/>
      <c r="L2" s="102"/>
      <c r="M2" s="102"/>
      <c r="N2" s="102"/>
      <c r="O2" s="103"/>
    </row>
    <row r="3" spans="1:20">
      <c r="A3" s="259"/>
      <c r="H3" s="102"/>
      <c r="I3" s="800" t="s">
        <v>1715</v>
      </c>
      <c r="J3" s="102"/>
      <c r="K3" s="102"/>
      <c r="L3" s="102"/>
      <c r="M3" s="102"/>
      <c r="N3" s="102"/>
      <c r="O3" s="103"/>
    </row>
    <row r="4" spans="1:20" ht="13.5" thickBot="1">
      <c r="E4" s="453">
        <v>2018</v>
      </c>
      <c r="H4" s="102"/>
      <c r="J4" s="102"/>
      <c r="K4" s="102"/>
      <c r="L4" s="102"/>
      <c r="M4" s="102"/>
      <c r="N4" s="102"/>
      <c r="O4" s="102"/>
    </row>
    <row r="5" spans="1:20" ht="13.5" thickBot="1">
      <c r="A5" s="56" t="s">
        <v>1469</v>
      </c>
      <c r="G5" s="453"/>
      <c r="H5" s="1226" t="s">
        <v>1470</v>
      </c>
      <c r="I5" s="1227"/>
      <c r="J5" s="1227"/>
      <c r="K5" s="1227"/>
      <c r="L5" s="1227"/>
      <c r="M5" s="1228"/>
      <c r="N5" s="1226"/>
      <c r="O5" s="1228"/>
      <c r="P5" s="102"/>
    </row>
    <row r="6" spans="1:20">
      <c r="D6" s="56" t="s">
        <v>1471</v>
      </c>
      <c r="E6" s="453"/>
      <c r="F6" s="453"/>
      <c r="G6" s="453"/>
      <c r="H6" s="101">
        <v>1</v>
      </c>
      <c r="I6" s="101">
        <v>2</v>
      </c>
      <c r="J6" s="101">
        <v>3</v>
      </c>
      <c r="K6" s="101">
        <v>4</v>
      </c>
      <c r="L6" s="101">
        <v>5</v>
      </c>
      <c r="M6" s="101">
        <v>6</v>
      </c>
      <c r="N6" s="101"/>
      <c r="O6" s="102"/>
    </row>
    <row r="7" spans="1:20">
      <c r="D7" s="56" t="s">
        <v>1472</v>
      </c>
      <c r="G7" s="453"/>
      <c r="H7" s="101">
        <v>1</v>
      </c>
      <c r="I7" s="101">
        <v>1</v>
      </c>
      <c r="J7" s="101">
        <v>1</v>
      </c>
      <c r="K7" s="101">
        <v>1</v>
      </c>
      <c r="L7" s="101">
        <v>1</v>
      </c>
      <c r="M7" s="101">
        <v>1</v>
      </c>
      <c r="N7" s="102"/>
      <c r="O7" s="102"/>
    </row>
    <row r="8" spans="1:20" s="584" customFormat="1" ht="48.75" customHeight="1" thickBot="1">
      <c r="A8" s="1122" t="s">
        <v>1035</v>
      </c>
      <c r="B8" s="1220" t="s">
        <v>1127</v>
      </c>
      <c r="C8" s="1220"/>
      <c r="D8" s="1121" t="s">
        <v>224</v>
      </c>
      <c r="E8" s="1121" t="s">
        <v>1128</v>
      </c>
      <c r="F8" s="1124" t="s">
        <v>1473</v>
      </c>
      <c r="G8" s="1121" t="s">
        <v>107</v>
      </c>
      <c r="H8" s="1125" t="s">
        <v>1</v>
      </c>
      <c r="I8" s="1121" t="s">
        <v>1171</v>
      </c>
      <c r="J8" s="1125" t="s">
        <v>1136</v>
      </c>
      <c r="K8" s="1125" t="s">
        <v>1015</v>
      </c>
      <c r="L8" s="1125" t="s">
        <v>88</v>
      </c>
      <c r="M8" s="1125" t="s">
        <v>1135</v>
      </c>
      <c r="N8" s="1125" t="s">
        <v>197</v>
      </c>
      <c r="O8" s="1125" t="s">
        <v>1167</v>
      </c>
      <c r="P8" s="1120"/>
      <c r="Q8" s="705"/>
      <c r="R8" s="53"/>
      <c r="S8" s="53"/>
      <c r="T8" s="53"/>
    </row>
    <row r="9" spans="1:20" ht="18" customHeight="1">
      <c r="A9" s="56" t="s">
        <v>1474</v>
      </c>
      <c r="D9" s="713"/>
      <c r="E9" s="991" t="s">
        <v>1131</v>
      </c>
      <c r="F9" s="1126" t="s">
        <v>1473</v>
      </c>
      <c r="G9" s="453" t="s">
        <v>1132</v>
      </c>
      <c r="H9" s="1127" t="s">
        <v>1138</v>
      </c>
      <c r="I9" s="1128" t="s">
        <v>1164</v>
      </c>
      <c r="J9" s="1129" t="s">
        <v>1160</v>
      </c>
      <c r="K9" s="1128" t="s">
        <v>1139</v>
      </c>
      <c r="L9" s="1128" t="s">
        <v>1161</v>
      </c>
      <c r="M9" s="1128" t="s">
        <v>1137</v>
      </c>
      <c r="N9" s="1130" t="s">
        <v>1165</v>
      </c>
      <c r="O9" s="1131" t="s">
        <v>1166</v>
      </c>
      <c r="P9" s="1132"/>
      <c r="R9" s="718"/>
      <c r="S9" s="718"/>
      <c r="T9" s="718"/>
    </row>
    <row r="10" spans="1:20" ht="14.25" customHeight="1">
      <c r="A10" s="453">
        <v>390</v>
      </c>
      <c r="C10" s="801"/>
      <c r="D10" s="113" t="s">
        <v>110</v>
      </c>
      <c r="E10" s="407">
        <f t="shared" ref="E10:E22" si="0">$E$4</f>
        <v>2018</v>
      </c>
      <c r="F10" s="1133" t="s">
        <v>1475</v>
      </c>
      <c r="G10" s="801">
        <v>30</v>
      </c>
      <c r="H10" s="1154">
        <f>'SWM Sum'!$G$11</f>
        <v>233159298</v>
      </c>
      <c r="I10" s="720">
        <f>'SWM Sum'!$G$14</f>
        <v>0</v>
      </c>
      <c r="J10" s="720">
        <f>'SWM Sum'!$F$20</f>
        <v>25522759</v>
      </c>
      <c r="K10" s="720">
        <f>'SWM Sum'!$F$23</f>
        <v>201008263</v>
      </c>
      <c r="L10" s="720">
        <f>'SWM Sum'!$F$38</f>
        <v>664019509</v>
      </c>
      <c r="M10" s="720">
        <f>'SWM Sum'!$G$41</f>
        <v>1123709829</v>
      </c>
      <c r="N10" s="1112">
        <f>'SWM Sum'!$C$6</f>
        <v>2166.6799999999998</v>
      </c>
      <c r="O10" s="1155">
        <f>'SWM Sum'!$I$8</f>
        <v>2228.16</v>
      </c>
      <c r="P10" s="717"/>
      <c r="R10" s="718"/>
      <c r="S10" s="718"/>
      <c r="T10" s="718"/>
    </row>
    <row r="11" spans="1:20" ht="14.25" customHeight="1">
      <c r="A11" s="453">
        <v>420</v>
      </c>
      <c r="B11" s="719"/>
      <c r="C11" s="801"/>
      <c r="D11" s="113" t="s">
        <v>112</v>
      </c>
      <c r="E11" s="407">
        <f t="shared" si="0"/>
        <v>2018</v>
      </c>
      <c r="F11" s="407" t="s">
        <v>1475</v>
      </c>
      <c r="G11" s="801">
        <v>40</v>
      </c>
      <c r="H11" s="1154">
        <f>'HSSA Sum'!$G$11</f>
        <v>184176527</v>
      </c>
      <c r="I11" s="720">
        <f>'HSSA Sum'!$G$14</f>
        <v>0</v>
      </c>
      <c r="J11" s="720">
        <f>'HSSA Sum'!$F$20</f>
        <v>43132587</v>
      </c>
      <c r="K11" s="720">
        <f>'HSSA Sum'!$F$23</f>
        <v>103703491</v>
      </c>
      <c r="L11" s="720">
        <f>'HSSA Sum'!$F$38</f>
        <v>315167866</v>
      </c>
      <c r="M11" s="720">
        <f>'HSSA Sum'!$G$41</f>
        <v>646180471</v>
      </c>
      <c r="N11" s="1112">
        <f>'HSSA Sum'!$C$6</f>
        <v>3827.8999999999996</v>
      </c>
      <c r="O11" s="1155">
        <f>'HSSA Sum'!$I$8</f>
        <v>1342.99</v>
      </c>
      <c r="P11" s="721"/>
      <c r="R11" s="596"/>
      <c r="S11" s="596"/>
      <c r="T11" s="596"/>
    </row>
    <row r="12" spans="1:20">
      <c r="A12" s="453">
        <v>450</v>
      </c>
      <c r="B12" s="719"/>
      <c r="C12" s="801"/>
      <c r="D12" s="113" t="s">
        <v>114</v>
      </c>
      <c r="E12" s="407">
        <f t="shared" si="0"/>
        <v>2018</v>
      </c>
      <c r="F12" s="407" t="s">
        <v>1475</v>
      </c>
      <c r="G12" s="801">
        <v>89</v>
      </c>
      <c r="H12" s="1154">
        <f>'TAMHSC Sum'!$G$11</f>
        <v>167393109</v>
      </c>
      <c r="I12" s="720">
        <f>'TAMHSC Sum'!$G$14</f>
        <v>18599332</v>
      </c>
      <c r="J12" s="720">
        <f>'TAMHSC Sum'!$F$20</f>
        <v>37044848</v>
      </c>
      <c r="K12" s="720">
        <f>'TAMHSC Sum'!$F$23</f>
        <v>42170209</v>
      </c>
      <c r="L12" s="720">
        <f>'TAMHSC Sum'!$F$38</f>
        <v>76854607</v>
      </c>
      <c r="M12" s="720">
        <f>'TAMHSC Sum'!$G$41</f>
        <v>323462773</v>
      </c>
      <c r="N12" s="1112">
        <f>'TAMHSC Sum'!$C$6</f>
        <v>3113.57</v>
      </c>
      <c r="O12" s="1155">
        <f>'TAMHSC Sum'!$I$8</f>
        <v>613.38</v>
      </c>
      <c r="P12" s="721"/>
      <c r="R12" s="596"/>
      <c r="S12" s="596"/>
      <c r="T12" s="596"/>
    </row>
    <row r="13" spans="1:20">
      <c r="A13" s="453">
        <v>460</v>
      </c>
      <c r="B13" s="719"/>
      <c r="C13" s="801"/>
      <c r="D13" s="113" t="s">
        <v>116</v>
      </c>
      <c r="E13" s="407">
        <f t="shared" si="0"/>
        <v>2018</v>
      </c>
      <c r="F13" s="407" t="s">
        <v>1475</v>
      </c>
      <c r="G13" s="801">
        <v>130</v>
      </c>
      <c r="H13" s="1154">
        <f>'UNTHSC Sum'!$G$11</f>
        <v>105907393</v>
      </c>
      <c r="I13" s="720">
        <f>'UNTHSC Sum'!$G$14</f>
        <v>17091856</v>
      </c>
      <c r="J13" s="720">
        <f>'UNTHSC Sum'!$F$20</f>
        <v>29810882</v>
      </c>
      <c r="K13" s="720">
        <f>'UNTHSC Sum'!$F$23</f>
        <v>37000670</v>
      </c>
      <c r="L13" s="720">
        <f>'UNTHSC Sum'!$F$38</f>
        <v>78314362</v>
      </c>
      <c r="M13" s="720">
        <f>'UNTHSC Sum'!$G$41</f>
        <v>251033307</v>
      </c>
      <c r="N13" s="1112">
        <f>'UNTHSC Sum'!$C$6</f>
        <v>2836.2200000000003</v>
      </c>
      <c r="O13" s="1155">
        <f>'UNTHSC Sum'!$I$8</f>
        <v>417.99</v>
      </c>
      <c r="P13" s="722"/>
      <c r="R13" s="596"/>
      <c r="S13" s="596"/>
      <c r="T13" s="596"/>
    </row>
    <row r="14" spans="1:20">
      <c r="A14" s="453">
        <v>470</v>
      </c>
      <c r="B14" s="719"/>
      <c r="C14" s="801"/>
      <c r="D14" s="113" t="s">
        <v>120</v>
      </c>
      <c r="E14" s="407">
        <f t="shared" si="0"/>
        <v>2018</v>
      </c>
      <c r="F14" s="407" t="s">
        <v>1475</v>
      </c>
      <c r="G14" s="801">
        <v>412</v>
      </c>
      <c r="H14" s="1154">
        <f>'TTUHSC Sum'!$G$11</f>
        <v>178247608</v>
      </c>
      <c r="I14" s="720">
        <f>'TTUHSC Sum'!$G$14</f>
        <v>23372396</v>
      </c>
      <c r="J14" s="720">
        <f>'TTUHSC Sum'!$F$20</f>
        <v>51990811</v>
      </c>
      <c r="K14" s="720">
        <f>'TTUHSC Sum'!$F$23</f>
        <v>19599396</v>
      </c>
      <c r="L14" s="720">
        <f>'TTUHSC Sum'!$F$38</f>
        <v>193107295</v>
      </c>
      <c r="M14" s="720">
        <f>'TTUHSC Sum'!$G$41</f>
        <v>442945110</v>
      </c>
      <c r="N14" s="1112">
        <f>'TTUHSC Sum'!$C$6</f>
        <v>5735.93</v>
      </c>
      <c r="O14" s="1155">
        <f>'TTUHSC Sum'!$I$8</f>
        <v>762.67</v>
      </c>
      <c r="P14" s="721"/>
      <c r="R14" s="596"/>
      <c r="S14" s="596"/>
      <c r="T14" s="596"/>
    </row>
    <row r="15" spans="1:20">
      <c r="A15" s="453">
        <v>480</v>
      </c>
      <c r="B15" s="719"/>
      <c r="C15" s="801"/>
      <c r="D15" s="206" t="s">
        <v>1324</v>
      </c>
      <c r="E15" s="950">
        <f t="shared" si="0"/>
        <v>2018</v>
      </c>
      <c r="F15" s="407" t="s">
        <v>1475</v>
      </c>
      <c r="G15" s="801">
        <v>862</v>
      </c>
      <c r="H15" s="1154">
        <f>'TTUHSCEP Sum'!$G$11</f>
        <v>81774299</v>
      </c>
      <c r="I15" s="720">
        <f>'TTUHSCEP Sum'!$G$14</f>
        <v>6234075</v>
      </c>
      <c r="J15" s="720">
        <f>'TTUHSCEP Sum'!$F$20</f>
        <v>8991570</v>
      </c>
      <c r="K15" s="720">
        <f>'TTUHSCEP Sum'!$F$23</f>
        <v>3784539</v>
      </c>
      <c r="L15" s="720">
        <f>'TTUHSCEP Sum'!$F$38</f>
        <v>103937406</v>
      </c>
      <c r="M15" s="720">
        <f>'TTUHSCEP Sum'!$G$41</f>
        <v>198487814</v>
      </c>
      <c r="N15" s="1112">
        <f>'TTUHSCEP Sum'!$C$6</f>
        <v>737.31000000000006</v>
      </c>
      <c r="O15" s="1155">
        <f>'TTUHSCEP Sum'!$I$8</f>
        <v>280.64</v>
      </c>
      <c r="P15" s="722"/>
      <c r="R15" s="596"/>
      <c r="S15" s="596"/>
      <c r="T15" s="596"/>
    </row>
    <row r="16" spans="1:20">
      <c r="A16" s="453">
        <v>410</v>
      </c>
      <c r="B16" s="719"/>
      <c r="C16" s="801"/>
      <c r="D16" s="113" t="s">
        <v>122</v>
      </c>
      <c r="E16" s="407">
        <f t="shared" si="0"/>
        <v>2018</v>
      </c>
      <c r="F16" s="407" t="s">
        <v>1475</v>
      </c>
      <c r="G16" s="801">
        <v>11618</v>
      </c>
      <c r="H16" s="1154">
        <f>'HSH Sum'!$G$11</f>
        <v>233613776</v>
      </c>
      <c r="I16" s="720">
        <f>'HSH Sum'!$G$14</f>
        <v>0</v>
      </c>
      <c r="J16" s="720">
        <f>'HSH Sum'!$F$20</f>
        <v>54210396</v>
      </c>
      <c r="K16" s="720">
        <f>'HSH Sum'!$F$23</f>
        <v>156372343</v>
      </c>
      <c r="L16" s="720">
        <f>'HSH Sum'!$F$38</f>
        <v>770621878</v>
      </c>
      <c r="M16" s="720">
        <f>'HSH Sum'!$G$41</f>
        <v>1214818393</v>
      </c>
      <c r="N16" s="1112">
        <f>'HSH Sum'!$C$6</f>
        <v>4887.8900000000003</v>
      </c>
      <c r="O16" s="1155">
        <f>'HSH Sum'!$I$8</f>
        <v>1926.48</v>
      </c>
      <c r="P16" s="722"/>
      <c r="Q16" s="57"/>
      <c r="R16" s="596"/>
      <c r="S16" s="596"/>
      <c r="T16" s="596"/>
    </row>
    <row r="17" spans="1:20">
      <c r="A17" s="453">
        <v>430</v>
      </c>
      <c r="B17" s="719"/>
      <c r="C17" s="801"/>
      <c r="D17" s="113" t="s">
        <v>124</v>
      </c>
      <c r="E17" s="407">
        <f t="shared" si="0"/>
        <v>2018</v>
      </c>
      <c r="F17" s="407" t="s">
        <v>1475</v>
      </c>
      <c r="G17" s="801">
        <v>25554</v>
      </c>
      <c r="H17" s="1154">
        <f>'MDA Sum'!$G$11</f>
        <v>258497280</v>
      </c>
      <c r="I17" s="720">
        <f>'MDA Sum'!$G$14</f>
        <v>0</v>
      </c>
      <c r="J17" s="720">
        <f>'MDA Sum'!$F$20</f>
        <v>1113485</v>
      </c>
      <c r="K17" s="720">
        <f>'MDA Sum'!$F$23</f>
        <v>175307623</v>
      </c>
      <c r="L17" s="720">
        <f>'MDA Sum'!$F$38</f>
        <v>601525506</v>
      </c>
      <c r="M17" s="720">
        <f>'MDA Sum'!$G$41</f>
        <v>1036443894</v>
      </c>
      <c r="N17" s="1112">
        <f>'MDA Sum'!$C$6</f>
        <v>378.18</v>
      </c>
      <c r="O17" s="1155">
        <f>'MDA Sum'!$I$8</f>
        <v>1790.7</v>
      </c>
      <c r="P17" s="722"/>
      <c r="R17" s="596"/>
      <c r="S17" s="596"/>
      <c r="T17" s="596"/>
    </row>
    <row r="18" spans="1:20" s="57" customFormat="1">
      <c r="A18" s="453">
        <v>440</v>
      </c>
      <c r="B18" s="719"/>
      <c r="C18" s="801"/>
      <c r="D18" s="113" t="s">
        <v>1300</v>
      </c>
      <c r="E18" s="407">
        <f t="shared" si="0"/>
        <v>2018</v>
      </c>
      <c r="F18" s="407" t="s">
        <v>1475</v>
      </c>
      <c r="G18" s="801">
        <v>42439</v>
      </c>
      <c r="H18" s="1154">
        <f>'THC Sum'!$G$11</f>
        <v>64528570</v>
      </c>
      <c r="I18" s="720">
        <f>'THC Sum'!$G$14</f>
        <v>0</v>
      </c>
      <c r="J18" s="720">
        <f>'THC Sum'!$F$20</f>
        <v>182967</v>
      </c>
      <c r="K18" s="720">
        <f>'THC Sum'!$F$23</f>
        <v>10226513</v>
      </c>
      <c r="L18" s="720">
        <f>'THC Sum'!$F$38</f>
        <v>42663652</v>
      </c>
      <c r="M18" s="720">
        <f>'THC Sum'!$G$41</f>
        <v>117601702</v>
      </c>
      <c r="N18" s="1112">
        <f>'THC Sum'!$C$6</f>
        <v>30.130000000000003</v>
      </c>
      <c r="O18" s="1155">
        <f>'THC Sum'!$I$8</f>
        <v>131.38999999999999</v>
      </c>
      <c r="P18" s="722"/>
      <c r="Q18" s="53"/>
      <c r="R18" s="596"/>
      <c r="S18" s="596"/>
      <c r="T18" s="596"/>
    </row>
    <row r="19" spans="1:20">
      <c r="A19" s="376">
        <v>400</v>
      </c>
      <c r="B19" s="961"/>
      <c r="C19" s="857"/>
      <c r="D19" s="206" t="s">
        <v>125</v>
      </c>
      <c r="E19" s="950">
        <f t="shared" si="0"/>
        <v>2018</v>
      </c>
      <c r="F19" s="407" t="s">
        <v>1475</v>
      </c>
      <c r="G19" s="857">
        <v>104952</v>
      </c>
      <c r="H19" s="1154">
        <f>'MBG Sum'!$G$11</f>
        <v>380383100</v>
      </c>
      <c r="I19" s="720">
        <f>'MBG Sum'!$G$14</f>
        <v>0</v>
      </c>
      <c r="J19" s="720">
        <f>'MBG Sum'!$F$20</f>
        <v>40834540</v>
      </c>
      <c r="K19" s="720">
        <f>'MBG Sum'!$F$23</f>
        <v>129743832</v>
      </c>
      <c r="L19" s="720">
        <f>'MBG Sum'!$F$38</f>
        <v>263833835</v>
      </c>
      <c r="M19" s="720">
        <f>'MBG Sum'!$G$41</f>
        <v>814795307</v>
      </c>
      <c r="N19" s="1112">
        <f>'MBG Sum'!$C$6</f>
        <v>3693.9200000000005</v>
      </c>
      <c r="O19" s="1155">
        <f>'MBG Sum'!$I$8</f>
        <v>1279</v>
      </c>
      <c r="P19" s="962"/>
      <c r="Q19" s="57"/>
      <c r="R19" s="954"/>
      <c r="S19" s="954"/>
      <c r="T19" s="954"/>
    </row>
    <row r="20" spans="1:20">
      <c r="A20" s="453">
        <v>510</v>
      </c>
      <c r="B20" s="719"/>
      <c r="C20" s="801"/>
      <c r="D20" s="113" t="s">
        <v>1319</v>
      </c>
      <c r="E20" s="950">
        <f t="shared" si="0"/>
        <v>2018</v>
      </c>
      <c r="F20" s="407" t="s">
        <v>1475</v>
      </c>
      <c r="G20" s="801">
        <v>203599</v>
      </c>
      <c r="H20" s="1154">
        <f>'RGVM Sum'!$G$11</f>
        <v>29328746</v>
      </c>
      <c r="I20" s="720">
        <f>'RGVM Sum'!$G$14</f>
        <v>0</v>
      </c>
      <c r="J20" s="720">
        <f>'RGVM Sum'!$F$20</f>
        <v>2146974</v>
      </c>
      <c r="K20" s="720">
        <f>'RGVM Sum'!$F$23</f>
        <v>4297754</v>
      </c>
      <c r="L20" s="720">
        <f>'RGVM Sum'!$F$38</f>
        <v>45251058</v>
      </c>
      <c r="M20" s="720">
        <f>'RGVM Sum'!$G$41</f>
        <v>81024532</v>
      </c>
      <c r="N20" s="1112">
        <f>'RGVM Sum'!$C$6</f>
        <v>101</v>
      </c>
      <c r="O20" s="1155">
        <f>'RGVM Sum'!$I$8</f>
        <v>86.15</v>
      </c>
      <c r="P20" s="722"/>
      <c r="R20" s="596"/>
      <c r="S20" s="596"/>
      <c r="T20" s="596"/>
    </row>
    <row r="21" spans="1:20">
      <c r="A21" s="453">
        <v>500</v>
      </c>
      <c r="B21" s="719"/>
      <c r="C21" s="801"/>
      <c r="D21" s="113" t="s">
        <v>1318</v>
      </c>
      <c r="E21" s="950">
        <f t="shared" si="0"/>
        <v>2018</v>
      </c>
      <c r="F21" s="407" t="s">
        <v>1475</v>
      </c>
      <c r="G21" s="801">
        <v>203658</v>
      </c>
      <c r="H21" s="1154">
        <f>'AUSM Sum'!$G$11</f>
        <v>8758606</v>
      </c>
      <c r="I21" s="720">
        <f>'AUSM Sum'!$G$14</f>
        <v>24977265</v>
      </c>
      <c r="J21" s="720">
        <f>'AUSM Sum'!$F$20</f>
        <v>2537661</v>
      </c>
      <c r="K21" s="720">
        <f>'AUSM Sum'!$F$23</f>
        <v>9489928</v>
      </c>
      <c r="L21" s="720">
        <f>'AUSM Sum'!$F$38</f>
        <v>69340795</v>
      </c>
      <c r="M21" s="720">
        <f>'AUSM Sum'!$G$41</f>
        <v>90126990</v>
      </c>
      <c r="N21" s="1112">
        <f>'AUSM Sum'!$C$6</f>
        <v>100</v>
      </c>
      <c r="O21" s="1155">
        <f>'AUSM Sum'!$I$8</f>
        <v>88.85</v>
      </c>
      <c r="P21" s="722"/>
      <c r="R21" s="596"/>
      <c r="S21" s="596"/>
      <c r="T21" s="596"/>
    </row>
    <row r="22" spans="1:20" ht="13.5" thickBot="1">
      <c r="A22" s="599"/>
      <c r="B22" s="599"/>
      <c r="C22" s="599">
        <f>COUNTA(D10:D21)</f>
        <v>12</v>
      </c>
      <c r="D22" s="600" t="s">
        <v>126</v>
      </c>
      <c r="E22" s="723">
        <f t="shared" si="0"/>
        <v>2018</v>
      </c>
      <c r="F22" s="723" t="s">
        <v>1475</v>
      </c>
      <c r="G22" s="802">
        <v>999999</v>
      </c>
      <c r="H22" s="1156">
        <f>'Smmy Sum'!$G$23</f>
        <v>1925768312</v>
      </c>
      <c r="I22" s="775">
        <f>'Smmy Sum'!$G$26</f>
        <v>90274924</v>
      </c>
      <c r="J22" s="775">
        <f>'Smmy Sum'!$F$32</f>
        <v>297519480</v>
      </c>
      <c r="K22" s="775">
        <f>'Smmy Sum'!$F$35</f>
        <v>892704561</v>
      </c>
      <c r="L22" s="775">
        <f>'Smmy Sum'!$F$50</f>
        <v>3224637769</v>
      </c>
      <c r="M22" s="775">
        <f>'Smmy Sum'!$G$53</f>
        <v>6340630122</v>
      </c>
      <c r="N22" s="784">
        <f>'Smmy Sum'!$C$18</f>
        <v>27608.730000000007</v>
      </c>
      <c r="O22" s="1157">
        <f>'Smmy Sum'!$I$20</f>
        <v>10948.399999999998</v>
      </c>
      <c r="P22" s="724"/>
      <c r="R22" s="102"/>
      <c r="S22" s="102"/>
      <c r="T22" s="102"/>
    </row>
    <row r="23" spans="1:20" s="102" customFormat="1" ht="13.5" thickTop="1">
      <c r="A23" s="101"/>
      <c r="B23" s="101"/>
      <c r="C23" s="101"/>
      <c r="I23" s="602"/>
      <c r="P23" s="602"/>
    </row>
    <row r="24" spans="1:20" s="102" customFormat="1">
      <c r="A24" s="101"/>
      <c r="B24" s="102" t="s">
        <v>1077</v>
      </c>
      <c r="C24" s="101"/>
      <c r="I24" s="602"/>
      <c r="P24" s="602"/>
    </row>
    <row r="25" spans="1:20" s="102" customFormat="1">
      <c r="A25" s="101"/>
      <c r="B25" s="102" t="s">
        <v>1078</v>
      </c>
      <c r="C25" s="101"/>
      <c r="H25" s="101" t="s">
        <v>1133</v>
      </c>
      <c r="I25" s="602"/>
      <c r="J25" s="101" t="s">
        <v>1133</v>
      </c>
      <c r="K25" s="101"/>
      <c r="L25" s="101" t="s">
        <v>1133</v>
      </c>
      <c r="M25" s="101" t="s">
        <v>1133</v>
      </c>
      <c r="N25" s="101"/>
      <c r="O25" s="101"/>
      <c r="P25" s="602"/>
    </row>
    <row r="26" spans="1:20" s="102" customFormat="1" ht="38.25">
      <c r="A26" s="101"/>
      <c r="B26" s="101"/>
      <c r="C26" s="102" t="s">
        <v>1476</v>
      </c>
      <c r="H26" s="133" t="s">
        <v>1</v>
      </c>
      <c r="J26" s="134" t="s">
        <v>37</v>
      </c>
      <c r="K26" s="134" t="s">
        <v>7</v>
      </c>
      <c r="L26" s="134" t="s">
        <v>40</v>
      </c>
      <c r="M26" s="725" t="s">
        <v>89</v>
      </c>
      <c r="N26" s="101"/>
      <c r="O26" s="101"/>
    </row>
    <row r="27" spans="1:20" s="102" customFormat="1" ht="38.25" outlineLevel="1">
      <c r="A27" s="101"/>
      <c r="B27" s="101"/>
      <c r="C27" s="101"/>
      <c r="D27" s="132" t="s">
        <v>128</v>
      </c>
      <c r="H27" s="133" t="s">
        <v>2</v>
      </c>
      <c r="I27" s="132"/>
      <c r="J27" s="134" t="s">
        <v>38</v>
      </c>
      <c r="K27" s="726"/>
      <c r="L27" s="134" t="s">
        <v>9</v>
      </c>
      <c r="M27" s="642" t="s">
        <v>1134</v>
      </c>
      <c r="N27" s="101"/>
      <c r="O27" s="101"/>
      <c r="P27" s="132"/>
    </row>
    <row r="28" spans="1:20" s="102" customFormat="1" ht="25.5" outlineLevel="1">
      <c r="A28" s="101"/>
      <c r="B28" s="101"/>
      <c r="C28" s="101"/>
      <c r="H28" s="133" t="s">
        <v>105</v>
      </c>
      <c r="J28" s="642" t="s">
        <v>1081</v>
      </c>
      <c r="K28" s="727"/>
      <c r="L28" s="134" t="s">
        <v>10</v>
      </c>
      <c r="M28" s="642" t="s">
        <v>1177</v>
      </c>
      <c r="N28" s="727"/>
      <c r="O28" s="727"/>
    </row>
    <row r="29" spans="1:20" s="102" customFormat="1" ht="38.25" outlineLevel="1">
      <c r="A29" s="101"/>
      <c r="B29" s="101"/>
      <c r="C29" s="101"/>
      <c r="H29" s="727"/>
      <c r="J29" s="72"/>
      <c r="K29" s="72"/>
      <c r="L29" s="134" t="s">
        <v>11</v>
      </c>
      <c r="M29" s="642" t="s">
        <v>1176</v>
      </c>
      <c r="N29" s="72"/>
      <c r="O29" s="72"/>
    </row>
    <row r="30" spans="1:20" s="102" customFormat="1" ht="25.5" outlineLevel="1">
      <c r="A30" s="101"/>
      <c r="B30" s="101"/>
      <c r="C30" s="101"/>
      <c r="L30" s="678" t="s">
        <v>1110</v>
      </c>
    </row>
    <row r="31" spans="1:20" s="102" customFormat="1" ht="25.5" outlineLevel="1">
      <c r="A31" s="101"/>
      <c r="B31" s="101"/>
      <c r="C31" s="101"/>
      <c r="L31" s="134" t="s">
        <v>41</v>
      </c>
    </row>
    <row r="32" spans="1:20" s="102" customFormat="1" outlineLevel="1">
      <c r="A32" s="101"/>
      <c r="B32" s="101"/>
      <c r="C32" s="101"/>
      <c r="H32" s="103"/>
      <c r="J32" s="103"/>
      <c r="K32" s="103"/>
      <c r="L32" s="103"/>
      <c r="M32" s="103"/>
      <c r="N32" s="103"/>
      <c r="O32" s="103"/>
    </row>
    <row r="33" spans="1:18" s="102" customFormat="1" outlineLevel="1">
      <c r="A33" s="101"/>
      <c r="B33" s="101"/>
      <c r="C33" s="101"/>
      <c r="H33" s="136"/>
      <c r="J33" s="136"/>
      <c r="K33" s="136"/>
      <c r="L33" s="136"/>
      <c r="M33" s="136"/>
      <c r="N33" s="136"/>
      <c r="O33" s="136"/>
    </row>
    <row r="34" spans="1:18" s="102" customFormat="1" outlineLevel="1">
      <c r="A34" s="101"/>
      <c r="B34" s="101"/>
      <c r="C34" s="101"/>
      <c r="H34" s="136"/>
      <c r="J34" s="136"/>
      <c r="K34" s="136"/>
      <c r="L34" s="136"/>
      <c r="M34" s="136"/>
      <c r="N34" s="136"/>
      <c r="O34" s="136"/>
    </row>
    <row r="35" spans="1:18" s="102" customFormat="1" outlineLevel="1">
      <c r="A35" s="101"/>
      <c r="B35" s="101"/>
      <c r="C35" s="101"/>
      <c r="H35" s="136"/>
      <c r="J35" s="136"/>
      <c r="K35" s="136"/>
      <c r="L35" s="136"/>
      <c r="M35" s="136"/>
      <c r="N35" s="136"/>
      <c r="O35" s="136"/>
    </row>
    <row r="36" spans="1:18" s="102" customFormat="1" outlineLevel="1">
      <c r="A36" s="101"/>
      <c r="B36" s="101"/>
      <c r="C36" s="101"/>
      <c r="H36" s="136"/>
      <c r="J36" s="136"/>
      <c r="K36" s="136"/>
      <c r="L36" s="136"/>
      <c r="M36" s="136"/>
      <c r="N36" s="136"/>
      <c r="O36" s="136"/>
    </row>
    <row r="37" spans="1:18" s="102" customFormat="1">
      <c r="A37" s="101"/>
      <c r="B37" s="101"/>
      <c r="C37" s="101"/>
      <c r="R37" s="105"/>
    </row>
    <row r="38" spans="1:18" s="102" customFormat="1">
      <c r="A38" s="101"/>
      <c r="B38" s="101"/>
      <c r="C38" s="101"/>
    </row>
    <row r="39" spans="1:18" s="102" customFormat="1">
      <c r="A39" s="101"/>
      <c r="B39" s="101"/>
      <c r="C39" s="101"/>
      <c r="H39" s="617" t="s">
        <v>1421</v>
      </c>
      <c r="I39" s="617" t="s">
        <v>1421</v>
      </c>
      <c r="J39" s="617" t="s">
        <v>1421</v>
      </c>
      <c r="K39" s="617" t="s">
        <v>1421</v>
      </c>
      <c r="L39" s="617" t="s">
        <v>1421</v>
      </c>
      <c r="M39" s="617" t="s">
        <v>1421</v>
      </c>
      <c r="N39" s="617" t="s">
        <v>1421</v>
      </c>
      <c r="O39" s="617" t="s">
        <v>1421</v>
      </c>
      <c r="P39" s="617"/>
    </row>
    <row r="40" spans="1:18" s="102" customFormat="1">
      <c r="A40" s="101"/>
      <c r="B40" s="101"/>
      <c r="C40" s="101"/>
    </row>
    <row r="41" spans="1:18" s="102" customFormat="1">
      <c r="A41" s="101"/>
      <c r="B41" s="101"/>
      <c r="C41" s="101"/>
      <c r="H41" s="101" t="s">
        <v>429</v>
      </c>
      <c r="I41" s="101" t="s">
        <v>431</v>
      </c>
      <c r="J41" s="101" t="s">
        <v>405</v>
      </c>
      <c r="K41" s="101" t="s">
        <v>406</v>
      </c>
      <c r="L41" s="101" t="s">
        <v>768</v>
      </c>
      <c r="M41" s="101" t="s">
        <v>440</v>
      </c>
      <c r="N41" s="101" t="s">
        <v>1080</v>
      </c>
      <c r="O41" s="101" t="s">
        <v>1168</v>
      </c>
      <c r="P41" s="101"/>
    </row>
    <row r="42" spans="1:18" s="102" customFormat="1">
      <c r="A42" s="101"/>
      <c r="B42" s="101"/>
      <c r="C42" s="101"/>
    </row>
    <row r="43" spans="1:18" s="102" customFormat="1" ht="13.5" thickBot="1">
      <c r="A43" s="101"/>
      <c r="B43" s="101"/>
      <c r="D43" s="102" t="s">
        <v>1497</v>
      </c>
      <c r="H43" s="49">
        <v>1898402563</v>
      </c>
      <c r="I43" s="775">
        <v>84752629</v>
      </c>
      <c r="J43" s="49">
        <v>281112222</v>
      </c>
      <c r="K43" s="49">
        <v>860171735</v>
      </c>
      <c r="L43" s="775">
        <v>2992664377</v>
      </c>
      <c r="M43" s="49">
        <v>6032350897</v>
      </c>
      <c r="N43" s="821">
        <v>26638.569999999996</v>
      </c>
      <c r="O43" s="821">
        <v>10738.83</v>
      </c>
      <c r="P43" s="724"/>
    </row>
    <row r="44" spans="1:18" s="102" customFormat="1" ht="13.5" thickTop="1">
      <c r="A44" s="101"/>
      <c r="B44" s="101"/>
      <c r="C44" s="101"/>
    </row>
    <row r="45" spans="1:18" s="102" customFormat="1">
      <c r="A45" s="101"/>
      <c r="B45" s="101"/>
      <c r="C45" s="101"/>
      <c r="H45" s="822"/>
      <c r="I45" s="822"/>
      <c r="J45" s="822"/>
      <c r="K45" s="822"/>
      <c r="L45" s="822"/>
      <c r="M45" s="822"/>
      <c r="N45" s="822"/>
      <c r="O45" s="822"/>
    </row>
    <row r="46" spans="1:18" s="102" customFormat="1">
      <c r="A46" s="101"/>
      <c r="B46" s="101"/>
      <c r="C46" s="101"/>
    </row>
    <row r="47" spans="1:18" s="102" customFormat="1">
      <c r="A47" s="101"/>
      <c r="B47" s="101"/>
      <c r="C47" s="101"/>
      <c r="H47" s="728"/>
      <c r="I47" s="728"/>
      <c r="J47" s="728"/>
      <c r="K47" s="728"/>
      <c r="L47" s="728"/>
      <c r="M47" s="728"/>
      <c r="N47" s="728"/>
      <c r="O47" s="728"/>
      <c r="P47" s="728"/>
    </row>
    <row r="48" spans="1:18" s="102" customFormat="1">
      <c r="A48" s="101"/>
      <c r="B48" s="101"/>
      <c r="C48" s="101"/>
    </row>
    <row r="49" spans="1:18" s="102" customFormat="1">
      <c r="A49" s="101"/>
      <c r="B49" s="101"/>
      <c r="C49" s="101"/>
      <c r="D49" s="103" t="s">
        <v>1477</v>
      </c>
      <c r="G49" s="729">
        <f>SUM(G10:G21)+G22</f>
        <v>1593382</v>
      </c>
      <c r="H49" s="729">
        <f t="shared" ref="H49:O49" si="1">SUM(H10:H21)+H22</f>
        <v>3851536624</v>
      </c>
      <c r="I49" s="729">
        <f t="shared" si="1"/>
        <v>180549848</v>
      </c>
      <c r="J49" s="729">
        <f t="shared" si="1"/>
        <v>595038960</v>
      </c>
      <c r="K49" s="729">
        <f t="shared" si="1"/>
        <v>1785409122</v>
      </c>
      <c r="L49" s="729">
        <f t="shared" si="1"/>
        <v>6449275538</v>
      </c>
      <c r="M49" s="729">
        <f t="shared" si="1"/>
        <v>12681260244</v>
      </c>
      <c r="N49" s="729">
        <f t="shared" si="1"/>
        <v>55217.460000000006</v>
      </c>
      <c r="O49" s="729">
        <f t="shared" si="1"/>
        <v>21896.799999999996</v>
      </c>
      <c r="R49" s="803">
        <f>SUM(G49:Q49)</f>
        <v>25544740832.259998</v>
      </c>
    </row>
    <row r="50" spans="1:18" s="102" customFormat="1">
      <c r="A50" s="101"/>
      <c r="B50" s="101"/>
      <c r="C50" s="101"/>
      <c r="H50" s="729"/>
      <c r="I50" s="729"/>
      <c r="J50" s="729"/>
      <c r="K50" s="729"/>
      <c r="L50" s="729"/>
      <c r="M50" s="729"/>
      <c r="N50" s="729"/>
      <c r="O50" s="729"/>
    </row>
    <row r="51" spans="1:18" s="102" customFormat="1">
      <c r="A51" s="101"/>
      <c r="B51" s="101"/>
      <c r="C51" s="101"/>
    </row>
    <row r="52" spans="1:18" s="102" customFormat="1">
      <c r="A52" s="101"/>
      <c r="B52" s="101"/>
      <c r="C52" s="101"/>
      <c r="D52" s="102" t="s">
        <v>1703</v>
      </c>
      <c r="G52" s="102">
        <v>1593382</v>
      </c>
      <c r="H52" s="102">
        <v>3851536624</v>
      </c>
      <c r="I52" s="102">
        <v>180549848</v>
      </c>
      <c r="J52" s="102">
        <v>595038960</v>
      </c>
      <c r="K52" s="102">
        <v>1785409122</v>
      </c>
      <c r="L52" s="102">
        <v>6449275538</v>
      </c>
      <c r="M52" s="102">
        <v>12681260244</v>
      </c>
      <c r="N52" s="102">
        <v>55217.460000000006</v>
      </c>
      <c r="O52" s="102">
        <v>21896.799999999996</v>
      </c>
      <c r="R52" s="873">
        <v>25544740832.259998</v>
      </c>
    </row>
    <row r="53" spans="1:18" s="102" customFormat="1">
      <c r="A53" s="101"/>
      <c r="B53" s="101"/>
      <c r="C53" s="101"/>
      <c r="G53" s="120">
        <f t="shared" ref="G53:O53" si="2">G49-G52</f>
        <v>0</v>
      </c>
      <c r="H53" s="120">
        <f>H49-H52</f>
        <v>0</v>
      </c>
      <c r="I53" s="120">
        <f>I49-I52</f>
        <v>0</v>
      </c>
      <c r="J53" s="120">
        <f>J49-J52</f>
        <v>0</v>
      </c>
      <c r="K53" s="120">
        <f t="shared" ref="K53" si="3">K49-K52</f>
        <v>0</v>
      </c>
      <c r="L53" s="120">
        <f>L49-L52</f>
        <v>0</v>
      </c>
      <c r="M53" s="120">
        <f>M49-M52</f>
        <v>0</v>
      </c>
      <c r="N53" s="120">
        <f t="shared" si="2"/>
        <v>0</v>
      </c>
      <c r="O53" s="120">
        <f t="shared" si="2"/>
        <v>0</v>
      </c>
      <c r="R53" s="120">
        <f>R49-R52</f>
        <v>0</v>
      </c>
    </row>
    <row r="54" spans="1:18" s="102" customFormat="1">
      <c r="A54" s="101"/>
      <c r="B54" s="101"/>
      <c r="C54" s="101"/>
    </row>
    <row r="55" spans="1:18" s="102" customFormat="1">
      <c r="A55" s="101"/>
      <c r="B55" s="101"/>
      <c r="C55" s="101"/>
    </row>
    <row r="56" spans="1:18" s="102" customFormat="1">
      <c r="A56" s="101"/>
      <c r="B56" s="101"/>
      <c r="C56" s="101"/>
    </row>
    <row r="57" spans="1:18" s="102" customFormat="1">
      <c r="A57" s="101"/>
      <c r="B57" s="101"/>
      <c r="C57" s="101"/>
    </row>
    <row r="58" spans="1:18" s="102" customFormat="1">
      <c r="A58" s="101"/>
      <c r="B58" s="101"/>
      <c r="C58" s="101"/>
    </row>
    <row r="59" spans="1:18" s="102" customFormat="1">
      <c r="A59" s="101"/>
      <c r="B59" s="101"/>
      <c r="C59" s="101"/>
    </row>
    <row r="60" spans="1:18" s="102" customFormat="1">
      <c r="A60" s="101"/>
      <c r="B60" s="101"/>
      <c r="C60" s="101"/>
    </row>
    <row r="61" spans="1:18" s="102" customFormat="1">
      <c r="A61" s="101"/>
      <c r="B61" s="101"/>
      <c r="C61" s="101"/>
    </row>
    <row r="62" spans="1:18" s="102" customFormat="1">
      <c r="A62" s="101"/>
      <c r="B62" s="101"/>
      <c r="C62" s="101"/>
    </row>
    <row r="63" spans="1:18" s="102" customFormat="1">
      <c r="A63" s="101"/>
      <c r="B63" s="101"/>
      <c r="C63" s="101"/>
    </row>
    <row r="64" spans="1:18"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1:20" s="102" customFormat="1">
      <c r="A769" s="101"/>
      <c r="B769" s="101"/>
      <c r="C769" s="101"/>
    </row>
    <row r="770" spans="1:20" s="102" customFormat="1">
      <c r="A770" s="101"/>
      <c r="B770" s="101"/>
      <c r="C770" s="101"/>
    </row>
    <row r="771" spans="1:20" s="102" customFormat="1">
      <c r="A771" s="101"/>
      <c r="B771" s="101"/>
      <c r="C771" s="101"/>
    </row>
    <row r="772" spans="1:20" s="102" customFormat="1">
      <c r="A772" s="101"/>
      <c r="B772" s="101"/>
      <c r="C772" s="101"/>
    </row>
    <row r="773" spans="1:20" s="102" customFormat="1">
      <c r="A773" s="101"/>
      <c r="B773" s="101"/>
      <c r="C773" s="101"/>
    </row>
    <row r="774" spans="1:20" s="102" customFormat="1">
      <c r="A774" s="101"/>
      <c r="B774" s="101"/>
      <c r="C774" s="101"/>
    </row>
    <row r="775" spans="1:20" s="102" customFormat="1">
      <c r="A775" s="101"/>
      <c r="B775" s="101"/>
      <c r="C775" s="101"/>
    </row>
    <row r="776" spans="1:20" s="102" customFormat="1">
      <c r="A776" s="101"/>
      <c r="B776" s="101"/>
      <c r="C776" s="101"/>
    </row>
    <row r="777" spans="1:20" s="102" customFormat="1">
      <c r="A777" s="101"/>
      <c r="B777" s="101"/>
      <c r="C777" s="101"/>
    </row>
    <row r="778" spans="1:20" s="102" customFormat="1">
      <c r="A778" s="101"/>
      <c r="B778" s="101"/>
      <c r="C778" s="101"/>
    </row>
    <row r="779" spans="1:20" s="102" customFormat="1">
      <c r="A779" s="101"/>
      <c r="B779" s="101"/>
      <c r="C779" s="101"/>
    </row>
    <row r="780" spans="1:20" s="102" customFormat="1">
      <c r="A780" s="101"/>
      <c r="B780" s="101"/>
      <c r="C780" s="101"/>
    </row>
    <row r="781" spans="1:20" s="102" customFormat="1">
      <c r="A781" s="101"/>
      <c r="B781" s="101"/>
      <c r="C781" s="101"/>
    </row>
    <row r="782" spans="1:20" s="102" customFormat="1">
      <c r="A782" s="101"/>
      <c r="B782" s="101"/>
      <c r="C782" s="101"/>
      <c r="R782" s="53"/>
      <c r="S782" s="53"/>
      <c r="T782" s="53"/>
    </row>
  </sheetData>
  <mergeCells count="3">
    <mergeCell ref="H5:M5"/>
    <mergeCell ref="N5:O5"/>
    <mergeCell ref="B8:C8"/>
  </mergeCells>
  <hyperlinks>
    <hyperlink ref="L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3"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AB778"/>
  <sheetViews>
    <sheetView showGridLines="0" zoomScale="80" zoomScaleNormal="80" workbookViewId="0">
      <pane xSplit="7" ySplit="9" topLeftCell="H10" activePane="bottomRight" state="frozen"/>
      <selection activeCell="C36" sqref="C36"/>
      <selection pane="topRight" activeCell="C36" sqref="C36"/>
      <selection pane="bottomLeft" activeCell="C36" sqref="C36"/>
      <selection pane="bottomRight" activeCell="M37" sqref="M37"/>
    </sheetView>
  </sheetViews>
  <sheetFormatPr defaultRowHeight="12.75" outlineLevelRow="1"/>
  <cols>
    <col min="1" max="1" width="7.28515625" style="453" customWidth="1"/>
    <col min="2" max="2" width="6" style="453" customWidth="1"/>
    <col min="3" max="3" width="9.28515625" style="453" customWidth="1"/>
    <col min="4" max="4" width="30.7109375" style="53" customWidth="1"/>
    <col min="5" max="5" width="10.28515625" style="53" customWidth="1"/>
    <col min="6" max="6" width="12" style="53" customWidth="1"/>
    <col min="7" max="7" width="13.28515625" style="53" customWidth="1"/>
    <col min="8" max="11" width="14" style="53" customWidth="1"/>
    <col min="12" max="12" width="17.5703125" style="604" customWidth="1"/>
    <col min="13" max="13" width="15.5703125" style="604" customWidth="1"/>
    <col min="14" max="14" width="18.42578125" style="604" customWidth="1"/>
    <col min="15" max="15" width="13.28515625" style="604" customWidth="1"/>
    <col min="16" max="16" width="12.85546875" style="604" customWidth="1"/>
    <col min="17" max="17" width="16.85546875" style="620" customWidth="1"/>
    <col min="18" max="22" width="12.140625" style="604" customWidth="1"/>
    <col min="23" max="23" width="7.28515625" style="53" customWidth="1"/>
    <col min="24" max="24" width="12.85546875" style="53" customWidth="1"/>
    <col min="25" max="25" width="4" style="53" customWidth="1"/>
    <col min="26" max="26" width="19.42578125" style="53" customWidth="1"/>
    <col min="27" max="27" width="16.5703125" style="53" customWidth="1"/>
    <col min="28" max="28" width="26.85546875" style="53" customWidth="1"/>
    <col min="29" max="16384" width="9.140625" style="53"/>
  </cols>
  <sheetData>
    <row r="1" spans="1:28" ht="13.5" thickBot="1">
      <c r="H1" s="103" t="s">
        <v>196</v>
      </c>
      <c r="L1" s="103"/>
      <c r="M1" s="103"/>
      <c r="N1" s="703" t="s">
        <v>1123</v>
      </c>
      <c r="O1" s="102"/>
      <c r="P1" s="102"/>
      <c r="Q1" s="101"/>
      <c r="R1" s="102"/>
      <c r="S1" s="102"/>
      <c r="T1" s="102"/>
      <c r="U1" s="102"/>
      <c r="V1" s="703" t="s">
        <v>1123</v>
      </c>
    </row>
    <row r="2" spans="1:28">
      <c r="H2" s="103" t="s">
        <v>1508</v>
      </c>
      <c r="L2" s="103"/>
      <c r="M2" s="103"/>
      <c r="N2" s="102"/>
      <c r="O2" s="102"/>
      <c r="P2" s="102"/>
      <c r="Q2" s="101"/>
      <c r="R2" s="102"/>
      <c r="S2" s="102"/>
      <c r="T2" s="102"/>
      <c r="U2" s="102"/>
      <c r="V2" s="102"/>
    </row>
    <row r="3" spans="1:28">
      <c r="A3" s="259" t="s">
        <v>1478</v>
      </c>
      <c r="H3" s="53" t="s">
        <v>1718</v>
      </c>
      <c r="L3" s="103"/>
      <c r="M3" s="103"/>
      <c r="N3" s="102"/>
      <c r="O3" s="102"/>
      <c r="P3" s="102"/>
      <c r="Q3" s="101"/>
      <c r="R3" s="102"/>
      <c r="S3" s="102"/>
      <c r="T3" s="102"/>
      <c r="U3" s="102"/>
      <c r="V3" s="102"/>
    </row>
    <row r="4" spans="1:28" ht="13.5" thickBot="1">
      <c r="E4" s="453">
        <v>2018</v>
      </c>
      <c r="L4" s="102"/>
      <c r="M4" s="102"/>
      <c r="N4" s="102"/>
      <c r="O4" s="1229" t="s">
        <v>1294</v>
      </c>
      <c r="P4" s="1230"/>
      <c r="Q4" s="1230"/>
      <c r="R4" s="1230"/>
      <c r="S4" s="1230"/>
      <c r="T4" s="1230"/>
      <c r="U4" s="1230"/>
      <c r="V4" s="1231"/>
    </row>
    <row r="5" spans="1:28" ht="13.5" thickBot="1">
      <c r="D5" s="56" t="s">
        <v>1469</v>
      </c>
      <c r="G5" s="453"/>
      <c r="H5" s="1232" t="s">
        <v>1479</v>
      </c>
      <c r="I5" s="1233"/>
      <c r="J5" s="1233"/>
      <c r="K5" s="1233"/>
      <c r="L5" s="1234"/>
      <c r="M5" s="103"/>
      <c r="N5" s="102"/>
      <c r="O5" s="1226"/>
      <c r="P5" s="1227"/>
      <c r="Q5" s="1227"/>
      <c r="R5" s="1227"/>
      <c r="S5" s="1227"/>
      <c r="T5" s="1227"/>
      <c r="U5" s="1227"/>
      <c r="V5" s="1228"/>
    </row>
    <row r="6" spans="1:28">
      <c r="D6" s="56" t="s">
        <v>1480</v>
      </c>
      <c r="E6" s="453"/>
      <c r="F6" s="453"/>
      <c r="G6" s="453"/>
      <c r="H6" s="1134">
        <v>1</v>
      </c>
      <c r="I6" s="1134">
        <v>2</v>
      </c>
      <c r="J6" s="1134">
        <v>3</v>
      </c>
      <c r="K6" s="1134">
        <v>4</v>
      </c>
      <c r="L6" s="1134">
        <v>5</v>
      </c>
      <c r="M6" s="101"/>
      <c r="N6" s="101"/>
      <c r="O6" s="101"/>
      <c r="P6" s="101"/>
      <c r="Q6" s="101"/>
      <c r="R6" s="101"/>
      <c r="S6" s="101"/>
      <c r="T6" s="102"/>
      <c r="U6" s="661"/>
      <c r="V6" s="661"/>
    </row>
    <row r="7" spans="1:28">
      <c r="A7" s="56"/>
      <c r="G7" s="453"/>
      <c r="H7" s="453"/>
      <c r="I7" s="453"/>
      <c r="J7" s="453"/>
      <c r="K7" s="453"/>
      <c r="L7" s="101"/>
      <c r="M7" s="101"/>
      <c r="N7" s="101"/>
      <c r="O7" s="101"/>
      <c r="P7" s="101"/>
      <c r="Q7" s="101"/>
      <c r="R7" s="101"/>
      <c r="S7" s="102"/>
      <c r="T7" s="102"/>
      <c r="U7" s="102"/>
      <c r="V7" s="102"/>
    </row>
    <row r="8" spans="1:28" s="584" customFormat="1" ht="48.75" thickBot="1">
      <c r="A8" s="1122" t="s">
        <v>1035</v>
      </c>
      <c r="B8" s="1220" t="s">
        <v>1127</v>
      </c>
      <c r="C8" s="1220"/>
      <c r="D8" s="1121" t="s">
        <v>224</v>
      </c>
      <c r="E8" s="1124" t="s">
        <v>1481</v>
      </c>
      <c r="F8" s="1124" t="s">
        <v>1473</v>
      </c>
      <c r="G8" s="1135" t="s">
        <v>107</v>
      </c>
      <c r="H8" s="1136" t="s">
        <v>1482</v>
      </c>
      <c r="I8" s="1136" t="s">
        <v>1483</v>
      </c>
      <c r="J8" s="1136" t="s">
        <v>1484</v>
      </c>
      <c r="K8" s="1136" t="s">
        <v>1485</v>
      </c>
      <c r="L8" s="1136" t="s">
        <v>1486</v>
      </c>
      <c r="M8" s="1125"/>
      <c r="N8" s="1125" t="s">
        <v>1487</v>
      </c>
      <c r="O8" s="1125"/>
      <c r="P8" s="1125"/>
      <c r="Q8" s="1125"/>
      <c r="R8" s="1125"/>
      <c r="S8" s="1125"/>
      <c r="T8" s="1125"/>
      <c r="U8" s="1125"/>
      <c r="V8" s="1125"/>
      <c r="W8" s="1120"/>
      <c r="X8" s="1123" t="s">
        <v>197</v>
      </c>
      <c r="Y8" s="705"/>
      <c r="Z8" s="53"/>
      <c r="AA8" s="53"/>
      <c r="AB8" s="53"/>
    </row>
    <row r="9" spans="1:28" ht="25.5">
      <c r="A9" s="56"/>
      <c r="D9" s="713"/>
      <c r="E9" s="1126" t="s">
        <v>1481</v>
      </c>
      <c r="F9" s="1126" t="s">
        <v>1473</v>
      </c>
      <c r="G9" s="453" t="s">
        <v>1132</v>
      </c>
      <c r="H9" s="1137" t="s">
        <v>1488</v>
      </c>
      <c r="I9" s="1138" t="s">
        <v>1489</v>
      </c>
      <c r="J9" s="1138" t="s">
        <v>1490</v>
      </c>
      <c r="K9" s="1138" t="s">
        <v>1491</v>
      </c>
      <c r="L9" s="1139" t="s">
        <v>1492</v>
      </c>
      <c r="M9" s="1140"/>
      <c r="N9" s="1140" t="s">
        <v>1170</v>
      </c>
      <c r="O9" s="1140" t="s">
        <v>1269</v>
      </c>
      <c r="P9" s="1140" t="s">
        <v>1270</v>
      </c>
      <c r="Q9" s="1140" t="s">
        <v>1271</v>
      </c>
      <c r="R9" s="1140" t="s">
        <v>1272</v>
      </c>
      <c r="S9" s="1140" t="s">
        <v>1273</v>
      </c>
      <c r="T9" s="1140" t="s">
        <v>1274</v>
      </c>
      <c r="U9" s="1140" t="s">
        <v>1275</v>
      </c>
      <c r="V9" s="1141" t="s">
        <v>1276</v>
      </c>
      <c r="W9" s="1132"/>
      <c r="X9" s="1142"/>
      <c r="Z9" s="718"/>
      <c r="AA9" s="718"/>
      <c r="AB9" s="718"/>
    </row>
    <row r="10" spans="1:28" ht="15">
      <c r="A10" s="453">
        <v>390</v>
      </c>
      <c r="B10" s="454"/>
      <c r="D10" s="113" t="s">
        <v>110</v>
      </c>
      <c r="E10" s="407">
        <f t="shared" ref="E10:E22" si="0">$E$4</f>
        <v>2018</v>
      </c>
      <c r="F10" s="1133" t="s">
        <v>1475</v>
      </c>
      <c r="G10" s="801">
        <v>30</v>
      </c>
      <c r="H10" s="733">
        <f>'SWM Sum'!$I$42</f>
        <v>439286</v>
      </c>
      <c r="I10" s="734">
        <f>'SWM Sum'!$I$46</f>
        <v>11015</v>
      </c>
      <c r="J10" s="734">
        <f>'SWM Sum'!$I$48</f>
        <v>32767</v>
      </c>
      <c r="K10" s="734">
        <f>'SWM Sum'!$I$53</f>
        <v>220390</v>
      </c>
      <c r="L10" s="734">
        <f>'SWM Sum'!$I$55</f>
        <v>703459</v>
      </c>
      <c r="M10" s="1143"/>
      <c r="N10" s="1143">
        <f>'SWM Sum'!$I$57</f>
        <v>684049</v>
      </c>
      <c r="O10" s="1144"/>
      <c r="P10" s="1144"/>
      <c r="Q10" s="1145"/>
      <c r="R10" s="1144"/>
      <c r="S10" s="1144"/>
      <c r="T10" s="1145"/>
      <c r="U10" s="1145"/>
      <c r="V10" s="1158"/>
      <c r="W10" s="717"/>
      <c r="X10" s="871">
        <f>'SWM Sum'!$C$6</f>
        <v>2166.6799999999998</v>
      </c>
      <c r="Z10" s="718"/>
      <c r="AA10" s="718"/>
      <c r="AB10" s="718"/>
    </row>
    <row r="11" spans="1:28" ht="15">
      <c r="A11" s="453">
        <v>420</v>
      </c>
      <c r="B11" s="454"/>
      <c r="C11" s="661"/>
      <c r="D11" s="113" t="s">
        <v>112</v>
      </c>
      <c r="E11" s="407">
        <f t="shared" si="0"/>
        <v>2018</v>
      </c>
      <c r="F11" s="407" t="s">
        <v>1475</v>
      </c>
      <c r="G11" s="801">
        <v>40</v>
      </c>
      <c r="H11" s="733">
        <f>'HSSA Sum'!$I$42</f>
        <v>99524</v>
      </c>
      <c r="I11" s="734">
        <f>'HSSA Sum'!$I$46</f>
        <v>11301</v>
      </c>
      <c r="J11" s="734">
        <f>'HSSA Sum'!$I$48</f>
        <v>12498</v>
      </c>
      <c r="K11" s="734">
        <f>'HSSA Sum'!$I$53</f>
        <v>53467</v>
      </c>
      <c r="L11" s="734">
        <f>'HSSA Sum'!$I$55</f>
        <v>176791</v>
      </c>
      <c r="M11" s="1143"/>
      <c r="N11" s="1143">
        <f>'HSSA Sum'!$I$57</f>
        <v>503903</v>
      </c>
      <c r="O11" s="1144"/>
      <c r="P11" s="1144"/>
      <c r="Q11" s="1145"/>
      <c r="R11" s="1144"/>
      <c r="S11" s="1144"/>
      <c r="T11" s="1144"/>
      <c r="U11" s="1145"/>
      <c r="V11" s="1158"/>
      <c r="W11" s="721"/>
      <c r="X11" s="871">
        <f>'HSSA Sum'!$C$6</f>
        <v>3827.8999999999996</v>
      </c>
      <c r="Z11" s="596"/>
      <c r="AA11" s="596"/>
      <c r="AB11" s="596"/>
    </row>
    <row r="12" spans="1:28" ht="15">
      <c r="A12" s="453">
        <v>450</v>
      </c>
      <c r="B12" s="454"/>
      <c r="C12" s="661"/>
      <c r="D12" s="113" t="s">
        <v>114</v>
      </c>
      <c r="E12" s="407">
        <f t="shared" si="0"/>
        <v>2018</v>
      </c>
      <c r="F12" s="407" t="s">
        <v>1475</v>
      </c>
      <c r="G12" s="801">
        <v>89</v>
      </c>
      <c r="H12" s="733">
        <f>'TAMHSC Sum'!$I$42</f>
        <v>36953</v>
      </c>
      <c r="I12" s="734">
        <f>'TAMHSC Sum'!$I$46</f>
        <v>10638</v>
      </c>
      <c r="J12" s="734">
        <f>'TAMHSC Sum'!$I$48</f>
        <v>4632</v>
      </c>
      <c r="K12" s="734">
        <f>'TAMHSC Sum'!$I$53</f>
        <v>33863</v>
      </c>
      <c r="L12" s="734">
        <f>'TAMHSC Sum'!$I$55</f>
        <v>86086</v>
      </c>
      <c r="M12" s="1143"/>
      <c r="N12" s="1143">
        <f>'TAMHSC Sum'!$I$57</f>
        <v>436982</v>
      </c>
      <c r="O12" s="1144"/>
      <c r="P12" s="1144"/>
      <c r="Q12" s="1145"/>
      <c r="R12" s="1144"/>
      <c r="S12" s="1144"/>
      <c r="T12" s="1144"/>
      <c r="U12" s="1144"/>
      <c r="V12" s="1146"/>
      <c r="W12" s="721"/>
      <c r="X12" s="871">
        <f>'TAMHSC Sum'!$C$6</f>
        <v>3113.57</v>
      </c>
      <c r="Z12" s="596"/>
      <c r="AA12" s="596"/>
      <c r="AB12" s="596"/>
    </row>
    <row r="13" spans="1:28" ht="15">
      <c r="A13" s="453">
        <v>460</v>
      </c>
      <c r="B13" s="931"/>
      <c r="C13" s="661"/>
      <c r="D13" s="113" t="s">
        <v>116</v>
      </c>
      <c r="E13" s="407">
        <f t="shared" si="0"/>
        <v>2018</v>
      </c>
      <c r="F13" s="407" t="s">
        <v>1475</v>
      </c>
      <c r="G13" s="801">
        <v>130</v>
      </c>
      <c r="H13" s="733">
        <f>'UNTHSC Sum'!$I$42</f>
        <v>24869</v>
      </c>
      <c r="I13" s="734">
        <f>'UNTHSC Sum'!$I$46</f>
        <v>6770</v>
      </c>
      <c r="J13" s="734">
        <f>'UNTHSC Sum'!$I$48</f>
        <v>6331</v>
      </c>
      <c r="K13" s="734">
        <f>'UNTHSC Sum'!$I$53</f>
        <v>21529</v>
      </c>
      <c r="L13" s="734">
        <f>'UNTHSC Sum'!$I$55</f>
        <v>59500</v>
      </c>
      <c r="M13" s="1143"/>
      <c r="N13" s="1143">
        <f>'UNTHSC Sum'!$I$57</f>
        <v>403727</v>
      </c>
      <c r="O13" s="1144"/>
      <c r="P13" s="1144"/>
      <c r="Q13" s="1145"/>
      <c r="R13" s="1144"/>
      <c r="S13" s="1144"/>
      <c r="T13" s="1145"/>
      <c r="U13" s="1144"/>
      <c r="V13" s="1158"/>
      <c r="W13" s="721"/>
      <c r="X13" s="871">
        <f>'UNTHSC Sum'!$C$6</f>
        <v>2836.2200000000003</v>
      </c>
      <c r="Z13" s="596"/>
      <c r="AA13" s="596"/>
      <c r="AB13" s="596"/>
    </row>
    <row r="14" spans="1:28" ht="15">
      <c r="A14" s="453">
        <v>470</v>
      </c>
      <c r="B14" s="454"/>
      <c r="C14" s="661"/>
      <c r="D14" s="113" t="s">
        <v>120</v>
      </c>
      <c r="E14" s="407">
        <f t="shared" si="0"/>
        <v>2018</v>
      </c>
      <c r="F14" s="407" t="s">
        <v>1475</v>
      </c>
      <c r="G14" s="801">
        <v>412</v>
      </c>
      <c r="H14" s="733">
        <f>'TTUHSC Sum'!$I$42</f>
        <v>35242</v>
      </c>
      <c r="I14" s="734">
        <f>'TTUHSC Sum'!$I$46</f>
        <v>20714</v>
      </c>
      <c r="J14" s="734">
        <f>'TTUHSC Sum'!$I$48</f>
        <v>5121</v>
      </c>
      <c r="K14" s="734">
        <f>'TTUHSC Sum'!$I$53</f>
        <v>14656</v>
      </c>
      <c r="L14" s="734">
        <f>'TTUHSC Sum'!$I$55</f>
        <v>75732</v>
      </c>
      <c r="M14" s="1143"/>
      <c r="N14" s="1143">
        <f>'TTUHSC Sum'!$I$57</f>
        <v>569567</v>
      </c>
      <c r="O14" s="1144"/>
      <c r="P14" s="1144"/>
      <c r="Q14" s="1145"/>
      <c r="R14" s="1144"/>
      <c r="S14" s="1144"/>
      <c r="T14" s="1144"/>
      <c r="U14" s="1145"/>
      <c r="V14" s="1146"/>
      <c r="W14" s="721"/>
      <c r="X14" s="871">
        <f>'TTUHSC Sum'!$C$6</f>
        <v>5735.93</v>
      </c>
      <c r="Z14" s="596"/>
      <c r="AA14" s="596"/>
      <c r="AB14" s="596"/>
    </row>
    <row r="15" spans="1:28" ht="15">
      <c r="A15" s="453">
        <v>480</v>
      </c>
      <c r="B15" s="454"/>
      <c r="C15" s="661"/>
      <c r="D15" s="206" t="s">
        <v>1324</v>
      </c>
      <c r="E15" s="950">
        <f t="shared" si="0"/>
        <v>2018</v>
      </c>
      <c r="F15" s="407" t="s">
        <v>1475</v>
      </c>
      <c r="G15" s="801">
        <v>862</v>
      </c>
      <c r="H15" s="733">
        <f>'TTUHSCEP Sum'!$I$42</f>
        <v>146811</v>
      </c>
      <c r="I15" s="734">
        <f>'TTUHSCEP Sum'!$I$46</f>
        <v>67543</v>
      </c>
      <c r="J15" s="734">
        <f>'TTUHSCEP Sum'!$I$48</f>
        <v>16162</v>
      </c>
      <c r="K15" s="734">
        <f>'TTUHSCEP Sum'!$I$53</f>
        <v>36575</v>
      </c>
      <c r="L15" s="734">
        <f>'TTUHSCEP Sum'!$I$55</f>
        <v>267092</v>
      </c>
      <c r="M15" s="1143"/>
      <c r="N15" s="1143">
        <f>'TTUHSCEP Sum'!$I$57</f>
        <v>701715</v>
      </c>
      <c r="O15" s="1144"/>
      <c r="P15" s="1144"/>
      <c r="Q15" s="1145"/>
      <c r="R15" s="1144"/>
      <c r="S15" s="1144"/>
      <c r="T15" s="1144"/>
      <c r="U15" s="1144"/>
      <c r="V15" s="1146"/>
      <c r="W15" s="721"/>
      <c r="X15" s="871">
        <f>'TTUHSCEP Sum'!$C$6</f>
        <v>737.31000000000006</v>
      </c>
      <c r="Z15" s="596"/>
      <c r="AA15" s="596"/>
      <c r="AB15" s="596"/>
    </row>
    <row r="16" spans="1:28" ht="15">
      <c r="A16" s="453">
        <v>410</v>
      </c>
      <c r="B16" s="454"/>
      <c r="C16" s="661"/>
      <c r="D16" s="113" t="s">
        <v>122</v>
      </c>
      <c r="E16" s="407">
        <f t="shared" si="0"/>
        <v>2018</v>
      </c>
      <c r="F16" s="407" t="s">
        <v>1475</v>
      </c>
      <c r="G16" s="801">
        <v>11618</v>
      </c>
      <c r="H16" s="733">
        <f>'HSH Sum'!$I$42</f>
        <v>146706</v>
      </c>
      <c r="I16" s="734">
        <f>'HSH Sum'!$I$46</f>
        <v>11322</v>
      </c>
      <c r="J16" s="734">
        <f>'HSH Sum'!$I$48</f>
        <v>15781</v>
      </c>
      <c r="K16" s="734">
        <f>'HSH Sum'!$I$53</f>
        <v>57027</v>
      </c>
      <c r="L16" s="734">
        <f>'HSH Sum'!$I$55</f>
        <v>230837</v>
      </c>
      <c r="M16" s="1143"/>
      <c r="N16" s="1143">
        <f>'HSH Sum'!$I$57</f>
        <v>585683</v>
      </c>
      <c r="O16" s="1144"/>
      <c r="P16" s="1144"/>
      <c r="Q16" s="1145"/>
      <c r="R16" s="1144"/>
      <c r="S16" s="1144"/>
      <c r="T16" s="1144"/>
      <c r="U16" s="1144"/>
      <c r="V16" s="1158"/>
      <c r="W16" s="721"/>
      <c r="X16" s="871">
        <f>'HSH Sum'!$C$6</f>
        <v>4887.8900000000003</v>
      </c>
      <c r="Z16" s="596"/>
      <c r="AA16" s="596"/>
      <c r="AB16" s="596"/>
    </row>
    <row r="17" spans="1:28" ht="15">
      <c r="A17" s="453">
        <v>430</v>
      </c>
      <c r="B17" s="454"/>
      <c r="C17" s="661"/>
      <c r="D17" s="113" t="s">
        <v>124</v>
      </c>
      <c r="E17" s="407">
        <f t="shared" si="0"/>
        <v>2018</v>
      </c>
      <c r="F17" s="407" t="s">
        <v>1475</v>
      </c>
      <c r="G17" s="801">
        <v>25554</v>
      </c>
      <c r="H17" s="1147"/>
      <c r="I17" s="1023"/>
      <c r="J17" s="1023"/>
      <c r="K17" s="1023"/>
      <c r="L17" s="1023"/>
      <c r="M17" s="1148"/>
      <c r="N17" s="1148"/>
      <c r="O17" s="1144"/>
      <c r="P17" s="1145"/>
      <c r="Q17" s="1145"/>
      <c r="R17" s="1145"/>
      <c r="S17" s="1144"/>
      <c r="T17" s="1145"/>
      <c r="U17" s="1145"/>
      <c r="V17" s="1158"/>
      <c r="W17" s="721"/>
      <c r="X17" s="871">
        <f>'MDA Sum'!$C$6</f>
        <v>378.18</v>
      </c>
      <c r="Z17" s="596"/>
      <c r="AA17" s="596"/>
      <c r="AB17" s="596"/>
    </row>
    <row r="18" spans="1:28" s="57" customFormat="1" ht="15">
      <c r="A18" s="453">
        <v>440</v>
      </c>
      <c r="B18" s="454"/>
      <c r="C18" s="661"/>
      <c r="D18" s="113" t="s">
        <v>1300</v>
      </c>
      <c r="E18" s="407">
        <f t="shared" si="0"/>
        <v>2018</v>
      </c>
      <c r="F18" s="407" t="s">
        <v>1475</v>
      </c>
      <c r="G18" s="801">
        <v>42439</v>
      </c>
      <c r="H18" s="1147"/>
      <c r="I18" s="1023"/>
      <c r="J18" s="1023"/>
      <c r="K18" s="1023"/>
      <c r="L18" s="1023"/>
      <c r="M18" s="1148"/>
      <c r="N18" s="1148"/>
      <c r="O18" s="1144"/>
      <c r="P18" s="1145"/>
      <c r="Q18" s="1145"/>
      <c r="R18" s="1144"/>
      <c r="S18" s="1145"/>
      <c r="T18" s="1145"/>
      <c r="U18" s="1145"/>
      <c r="V18" s="1158"/>
      <c r="W18" s="721"/>
      <c r="X18" s="871">
        <f>'THC Sum'!$C$6</f>
        <v>30.130000000000003</v>
      </c>
      <c r="Y18" s="53"/>
      <c r="Z18" s="596"/>
      <c r="AA18" s="596"/>
      <c r="AB18" s="596"/>
    </row>
    <row r="19" spans="1:28" ht="15">
      <c r="A19" s="376">
        <v>400</v>
      </c>
      <c r="B19" s="454"/>
      <c r="C19" s="72"/>
      <c r="D19" s="206" t="s">
        <v>125</v>
      </c>
      <c r="E19" s="950">
        <f t="shared" si="0"/>
        <v>2018</v>
      </c>
      <c r="F19" s="407" t="s">
        <v>1475</v>
      </c>
      <c r="G19" s="857">
        <v>104952</v>
      </c>
      <c r="H19" s="733">
        <f>'MBG Sum'!$I$42</f>
        <v>91288</v>
      </c>
      <c r="I19" s="734">
        <f>'MBG Sum'!$I$46</f>
        <v>9545</v>
      </c>
      <c r="J19" s="734">
        <f>'MBG Sum'!$I$48</f>
        <v>23577</v>
      </c>
      <c r="K19" s="734">
        <f>'MBG Sum'!$I$53</f>
        <v>56073</v>
      </c>
      <c r="L19" s="734">
        <f>'MBG Sum'!$I$55</f>
        <v>180483</v>
      </c>
      <c r="M19" s="1143"/>
      <c r="N19" s="1143">
        <f>'MBG Sum'!$I$57</f>
        <v>521259</v>
      </c>
      <c r="O19" s="1144"/>
      <c r="P19" s="1144"/>
      <c r="Q19" s="1145"/>
      <c r="R19" s="1144"/>
      <c r="S19" s="1144"/>
      <c r="T19" s="1144"/>
      <c r="U19" s="1145"/>
      <c r="V19" s="1158"/>
      <c r="W19" s="963"/>
      <c r="X19" s="964">
        <f>'MBG Sum'!$C$6</f>
        <v>3693.9200000000005</v>
      </c>
      <c r="Y19" s="57"/>
      <c r="Z19" s="954"/>
      <c r="AA19" s="954"/>
      <c r="AB19" s="954"/>
    </row>
    <row r="20" spans="1:28" ht="15">
      <c r="A20" s="453">
        <v>510</v>
      </c>
      <c r="B20" s="454"/>
      <c r="C20" s="661"/>
      <c r="D20" s="113" t="s">
        <v>1319</v>
      </c>
      <c r="E20" s="950">
        <f t="shared" si="0"/>
        <v>2018</v>
      </c>
      <c r="F20" s="407" t="s">
        <v>1475</v>
      </c>
      <c r="G20" s="801">
        <v>203599</v>
      </c>
      <c r="H20" s="733">
        <f>'RGVM Sum'!$I$42</f>
        <v>175514</v>
      </c>
      <c r="I20" s="734">
        <f>'RGVM Sum'!$I$46</f>
        <v>99302</v>
      </c>
      <c r="J20" s="734">
        <f>'RGVM Sum'!$I$48</f>
        <v>44272</v>
      </c>
      <c r="K20" s="734">
        <f>'RGVM Sum'!$I$53</f>
        <v>173582</v>
      </c>
      <c r="L20" s="734">
        <f>'RGVM Sum'!$I$55</f>
        <v>492670</v>
      </c>
      <c r="M20" s="1143"/>
      <c r="N20" s="1143">
        <f>'RGVM Sum'!$I$57</f>
        <v>577594</v>
      </c>
      <c r="O20" s="1144"/>
      <c r="P20" s="1144"/>
      <c r="Q20" s="1145"/>
      <c r="R20" s="1145"/>
      <c r="S20" s="1145"/>
      <c r="T20" s="1145"/>
      <c r="U20" s="1145"/>
      <c r="V20" s="1158"/>
      <c r="W20" s="721"/>
      <c r="X20" s="871">
        <f>'RGVM Sum'!$C$6</f>
        <v>101</v>
      </c>
      <c r="Z20" s="596"/>
      <c r="AA20" s="596"/>
      <c r="AB20" s="596"/>
    </row>
    <row r="21" spans="1:28" ht="15.75">
      <c r="A21" s="453">
        <v>500</v>
      </c>
      <c r="B21" s="921"/>
      <c r="C21" s="661"/>
      <c r="D21" s="113" t="s">
        <v>1318</v>
      </c>
      <c r="E21" s="950">
        <f t="shared" si="0"/>
        <v>2018</v>
      </c>
      <c r="F21" s="407" t="s">
        <v>1475</v>
      </c>
      <c r="G21" s="801">
        <v>203658</v>
      </c>
      <c r="H21" s="733">
        <f>'AUSM Sum'!$I$42</f>
        <v>40995</v>
      </c>
      <c r="I21" s="734">
        <f>'AUSM Sum'!$I$46</f>
        <v>365769</v>
      </c>
      <c r="J21" s="734">
        <f>'AUSM Sum'!$I$48</f>
        <v>188697</v>
      </c>
      <c r="K21" s="734">
        <f>'AUSM Sum'!$I$53</f>
        <v>399079</v>
      </c>
      <c r="L21" s="734">
        <f>'AUSM Sum'!$I$55</f>
        <v>994539</v>
      </c>
      <c r="M21" s="1143"/>
      <c r="N21" s="1143">
        <f>'AUSM Sum'!$I$57</f>
        <v>1119346</v>
      </c>
      <c r="O21" s="1144"/>
      <c r="P21" s="1144"/>
      <c r="Q21" s="1145"/>
      <c r="R21" s="1145"/>
      <c r="S21" s="1145"/>
      <c r="T21" s="1145"/>
      <c r="U21" s="1145"/>
      <c r="V21" s="1158"/>
      <c r="W21" s="721"/>
      <c r="X21" s="871">
        <f>'AUSM Sum'!$C$6</f>
        <v>100</v>
      </c>
      <c r="Z21" s="596"/>
      <c r="AA21" s="596"/>
      <c r="AB21" s="596"/>
    </row>
    <row r="22" spans="1:28" ht="13.5" thickBot="1">
      <c r="A22" s="599"/>
      <c r="B22" s="599"/>
      <c r="C22" s="599">
        <f>COUNTA(D10:D21)</f>
        <v>12</v>
      </c>
      <c r="D22" s="600" t="s">
        <v>126</v>
      </c>
      <c r="E22" s="723">
        <f t="shared" si="0"/>
        <v>2018</v>
      </c>
      <c r="F22" s="723" t="s">
        <v>1475</v>
      </c>
      <c r="G22" s="802">
        <v>999999</v>
      </c>
      <c r="H22" s="735">
        <f>'Smmy Sum'!$I$54</f>
        <v>108646</v>
      </c>
      <c r="I22" s="736">
        <f>'Smmy Sum'!$I$58</f>
        <v>20570</v>
      </c>
      <c r="J22" s="736">
        <f>'Smmy Sum'!$I$60</f>
        <v>19290</v>
      </c>
      <c r="K22" s="736">
        <f>'Smmy Sum'!$I$65</f>
        <v>93338</v>
      </c>
      <c r="L22" s="736">
        <f>'Smmy Sum'!$I$67</f>
        <v>241844</v>
      </c>
      <c r="M22" s="1149"/>
      <c r="N22" s="1149">
        <f>'Smmy Sum'!$I$69</f>
        <v>476164</v>
      </c>
      <c r="O22" s="1159"/>
      <c r="P22" s="1160"/>
      <c r="Q22" s="1161"/>
      <c r="R22" s="1160"/>
      <c r="S22" s="1159"/>
      <c r="T22" s="1159"/>
      <c r="U22" s="1159"/>
      <c r="V22" s="1162"/>
      <c r="W22" s="724"/>
      <c r="X22" s="872">
        <f>SUM(X10:X21)</f>
        <v>27608.730000000003</v>
      </c>
      <c r="Z22" s="102"/>
      <c r="AA22" s="102"/>
      <c r="AB22" s="102"/>
    </row>
    <row r="23" spans="1:28" s="102" customFormat="1" ht="13.5" thickTop="1">
      <c r="A23" s="101"/>
      <c r="B23" s="101"/>
      <c r="C23" s="101"/>
      <c r="D23" s="102" t="s">
        <v>1077</v>
      </c>
      <c r="Q23" s="101"/>
      <c r="W23" s="602"/>
      <c r="X23" s="602"/>
    </row>
    <row r="24" spans="1:28" s="102" customFormat="1">
      <c r="A24" s="101"/>
      <c r="B24" s="101"/>
      <c r="C24" s="101"/>
      <c r="D24" s="102" t="s">
        <v>1078</v>
      </c>
      <c r="Q24" s="101"/>
      <c r="W24" s="602"/>
      <c r="X24" s="602"/>
    </row>
    <row r="25" spans="1:28" s="102" customFormat="1">
      <c r="A25" s="101"/>
      <c r="B25" s="101"/>
      <c r="C25" s="101" t="s">
        <v>1496</v>
      </c>
      <c r="L25" s="76"/>
      <c r="M25" s="76"/>
      <c r="N25" s="76"/>
      <c r="O25" s="76"/>
      <c r="P25" s="76"/>
      <c r="Q25" s="76"/>
      <c r="R25" s="76"/>
      <c r="S25" s="76"/>
      <c r="T25" s="76"/>
      <c r="U25" s="76"/>
      <c r="V25" s="76"/>
    </row>
    <row r="26" spans="1:28" s="102" customFormat="1" ht="25.5" hidden="1" outlineLevel="1">
      <c r="A26" s="101"/>
      <c r="B26" s="101"/>
      <c r="C26" s="101"/>
      <c r="D26" s="132" t="s">
        <v>128</v>
      </c>
      <c r="L26" s="641" t="s">
        <v>1079</v>
      </c>
      <c r="M26" s="641"/>
      <c r="N26" s="641" t="s">
        <v>1079</v>
      </c>
      <c r="O26" s="641"/>
      <c r="P26" s="641"/>
      <c r="Q26" s="876"/>
      <c r="R26" s="641"/>
      <c r="S26" s="874"/>
      <c r="T26" s="874"/>
      <c r="U26" s="874"/>
      <c r="V26" s="874"/>
      <c r="W26" s="132"/>
      <c r="X26" s="132"/>
    </row>
    <row r="27" spans="1:28" s="102" customFormat="1" ht="38.25" hidden="1" outlineLevel="1">
      <c r="A27" s="101"/>
      <c r="B27" s="101"/>
      <c r="C27" s="101"/>
      <c r="L27" s="642" t="s">
        <v>1175</v>
      </c>
      <c r="M27" s="642"/>
      <c r="N27" s="642" t="s">
        <v>1175</v>
      </c>
      <c r="O27" s="642"/>
      <c r="P27" s="642"/>
      <c r="Q27" s="877"/>
      <c r="R27" s="642"/>
      <c r="S27" s="875"/>
      <c r="T27" s="875"/>
      <c r="U27" s="875"/>
      <c r="V27" s="875"/>
    </row>
    <row r="28" spans="1:28" s="102" customFormat="1" hidden="1" outlineLevel="1">
      <c r="A28" s="101"/>
      <c r="B28" s="101"/>
      <c r="C28" s="101"/>
      <c r="L28" s="642" t="s">
        <v>1142</v>
      </c>
      <c r="M28" s="642"/>
      <c r="N28" s="642" t="s">
        <v>1142</v>
      </c>
      <c r="O28" s="642"/>
      <c r="Q28" s="877"/>
      <c r="R28" s="642"/>
      <c r="S28" s="875"/>
      <c r="T28" s="875"/>
      <c r="U28" s="875"/>
      <c r="V28" s="875"/>
    </row>
    <row r="29" spans="1:28" s="102" customFormat="1" hidden="1" outlineLevel="1">
      <c r="A29" s="101"/>
      <c r="B29" s="101"/>
      <c r="C29" s="101"/>
      <c r="Q29" s="101"/>
    </row>
    <row r="30" spans="1:28" s="102" customFormat="1" hidden="1" outlineLevel="1">
      <c r="A30" s="101"/>
      <c r="B30" s="101"/>
      <c r="C30" s="101"/>
      <c r="Q30" s="101"/>
    </row>
    <row r="31" spans="1:28" s="102" customFormat="1" hidden="1" outlineLevel="1">
      <c r="A31" s="101"/>
      <c r="B31" s="101"/>
      <c r="C31" s="101"/>
      <c r="L31" s="103"/>
      <c r="M31" s="103"/>
      <c r="N31" s="103"/>
      <c r="O31" s="103"/>
      <c r="P31" s="103"/>
      <c r="Q31" s="103"/>
      <c r="R31" s="103"/>
      <c r="S31" s="103"/>
      <c r="T31" s="103"/>
      <c r="U31" s="103"/>
      <c r="V31" s="103"/>
    </row>
    <row r="32" spans="1:28" s="102" customFormat="1" hidden="1" outlineLevel="1">
      <c r="A32" s="101"/>
      <c r="B32" s="101"/>
      <c r="C32" s="101"/>
      <c r="L32" s="136"/>
      <c r="M32" s="136"/>
      <c r="N32" s="136"/>
      <c r="O32" s="136"/>
      <c r="P32" s="136"/>
      <c r="Q32" s="101"/>
      <c r="R32" s="136"/>
      <c r="S32" s="136"/>
      <c r="T32" s="136"/>
      <c r="U32" s="136"/>
      <c r="V32" s="136"/>
    </row>
    <row r="33" spans="1:26" s="102" customFormat="1" hidden="1" outlineLevel="1">
      <c r="A33" s="101"/>
      <c r="B33" s="101"/>
      <c r="C33" s="101"/>
      <c r="L33" s="136"/>
      <c r="M33" s="136"/>
      <c r="N33" s="136"/>
      <c r="O33" s="136"/>
      <c r="P33" s="136"/>
      <c r="Q33" s="101"/>
      <c r="R33" s="136"/>
      <c r="S33" s="136"/>
      <c r="T33" s="136"/>
      <c r="U33" s="136"/>
      <c r="V33" s="136"/>
    </row>
    <row r="34" spans="1:26" s="102" customFormat="1" hidden="1" outlineLevel="1">
      <c r="A34" s="101"/>
      <c r="B34" s="101"/>
      <c r="C34" s="101"/>
      <c r="L34" s="136"/>
      <c r="M34" s="136"/>
      <c r="N34" s="136"/>
      <c r="O34" s="136"/>
      <c r="P34" s="136"/>
      <c r="Q34" s="101"/>
      <c r="R34" s="136"/>
      <c r="S34" s="136"/>
      <c r="T34" s="136"/>
      <c r="U34" s="136"/>
      <c r="V34" s="136"/>
    </row>
    <row r="35" spans="1:26" s="102" customFormat="1" hidden="1" outlineLevel="1">
      <c r="A35" s="101"/>
      <c r="B35" s="101"/>
      <c r="C35" s="101"/>
      <c r="L35" s="136"/>
      <c r="M35" s="136"/>
      <c r="N35" s="136"/>
      <c r="O35" s="136"/>
      <c r="P35" s="136"/>
      <c r="Q35" s="101"/>
      <c r="R35" s="136"/>
      <c r="S35" s="136"/>
      <c r="T35" s="136"/>
      <c r="U35" s="136"/>
      <c r="V35" s="136"/>
    </row>
    <row r="36" spans="1:26" s="102" customFormat="1" collapsed="1">
      <c r="A36" s="101"/>
      <c r="B36" s="101"/>
      <c r="C36" s="101"/>
      <c r="Q36" s="101"/>
      <c r="Z36" s="105"/>
    </row>
    <row r="37" spans="1:26" s="102" customFormat="1">
      <c r="A37" s="101"/>
      <c r="B37" s="101"/>
      <c r="C37" s="101"/>
      <c r="Q37" s="101"/>
    </row>
    <row r="38" spans="1:26" s="102" customFormat="1">
      <c r="A38" s="101"/>
      <c r="B38" s="101"/>
      <c r="C38" s="101"/>
      <c r="Q38" s="101"/>
      <c r="W38" s="617"/>
      <c r="X38" s="617"/>
    </row>
    <row r="39" spans="1:26" s="102" customFormat="1">
      <c r="A39" s="101"/>
      <c r="B39" s="101"/>
      <c r="C39" s="101"/>
      <c r="Q39" s="101"/>
    </row>
    <row r="40" spans="1:26" s="102" customFormat="1">
      <c r="A40" s="101"/>
      <c r="B40" s="101"/>
      <c r="C40" s="101"/>
      <c r="H40" s="101" t="s">
        <v>1493</v>
      </c>
      <c r="I40" s="101" t="s">
        <v>1494</v>
      </c>
      <c r="J40" s="101" t="s">
        <v>1092</v>
      </c>
      <c r="K40" s="101" t="s">
        <v>498</v>
      </c>
      <c r="L40" s="101" t="s">
        <v>1495</v>
      </c>
      <c r="M40" s="101"/>
      <c r="N40" s="101" t="s">
        <v>500</v>
      </c>
      <c r="O40" s="101"/>
      <c r="P40" s="101"/>
      <c r="Q40" s="101"/>
      <c r="R40" s="101"/>
      <c r="S40" s="101"/>
      <c r="T40" s="101"/>
      <c r="U40" s="101"/>
      <c r="V40" s="101"/>
      <c r="W40" s="101"/>
      <c r="X40" s="101"/>
    </row>
    <row r="41" spans="1:26" s="102" customFormat="1">
      <c r="A41" s="101"/>
      <c r="B41" s="101"/>
      <c r="C41" s="101"/>
      <c r="L41" s="823"/>
      <c r="M41" s="823"/>
      <c r="N41" s="823"/>
      <c r="Q41" s="101"/>
      <c r="X41" s="823"/>
    </row>
    <row r="42" spans="1:26" s="102" customFormat="1">
      <c r="A42" s="101"/>
      <c r="B42" s="101"/>
      <c r="C42" s="101"/>
      <c r="Q42" s="101"/>
      <c r="W42" s="728"/>
      <c r="X42" s="728"/>
    </row>
    <row r="43" spans="1:26" s="102" customFormat="1">
      <c r="A43" s="101"/>
      <c r="B43" s="101"/>
      <c r="C43" s="101"/>
      <c r="Q43" s="101"/>
      <c r="X43" s="102" t="s">
        <v>1217</v>
      </c>
    </row>
    <row r="44" spans="1:26" s="102" customFormat="1">
      <c r="A44" s="101"/>
      <c r="B44" s="101"/>
      <c r="C44" s="101"/>
      <c r="Q44" s="101"/>
    </row>
    <row r="45" spans="1:26" s="102" customFormat="1">
      <c r="A45" s="101"/>
      <c r="B45" s="101"/>
      <c r="C45" s="101"/>
      <c r="D45" s="103" t="s">
        <v>1392</v>
      </c>
      <c r="G45" s="729">
        <f>SUM(G10:G21)+G22</f>
        <v>1593382</v>
      </c>
      <c r="H45" s="729">
        <f t="shared" ref="H45:V45" si="1">SUM(H10:H21)+H22</f>
        <v>1345834</v>
      </c>
      <c r="I45" s="729">
        <f t="shared" si="1"/>
        <v>634489</v>
      </c>
      <c r="J45" s="729">
        <f t="shared" si="1"/>
        <v>369128</v>
      </c>
      <c r="K45" s="729">
        <f t="shared" si="1"/>
        <v>1159579</v>
      </c>
      <c r="L45" s="729">
        <f t="shared" si="1"/>
        <v>3509033</v>
      </c>
      <c r="M45" s="729">
        <f t="shared" si="1"/>
        <v>0</v>
      </c>
      <c r="N45" s="729">
        <f t="shared" si="1"/>
        <v>6579989</v>
      </c>
      <c r="O45" s="729">
        <f t="shared" si="1"/>
        <v>0</v>
      </c>
      <c r="P45" s="729">
        <f t="shared" si="1"/>
        <v>0</v>
      </c>
      <c r="Q45" s="729">
        <f t="shared" si="1"/>
        <v>0</v>
      </c>
      <c r="R45" s="729">
        <f t="shared" si="1"/>
        <v>0</v>
      </c>
      <c r="S45" s="729">
        <f t="shared" si="1"/>
        <v>0</v>
      </c>
      <c r="T45" s="729">
        <f t="shared" si="1"/>
        <v>0</v>
      </c>
      <c r="U45" s="729">
        <f t="shared" si="1"/>
        <v>0</v>
      </c>
      <c r="V45" s="729">
        <f t="shared" si="1"/>
        <v>0</v>
      </c>
      <c r="X45" s="729">
        <f>SUM(G45:W45)</f>
        <v>15191434</v>
      </c>
    </row>
    <row r="46" spans="1:26" s="102" customFormat="1">
      <c r="A46" s="101"/>
      <c r="B46" s="101"/>
      <c r="C46" s="101"/>
      <c r="O46" s="878"/>
      <c r="P46" s="878"/>
      <c r="Q46" s="879"/>
      <c r="R46" s="878"/>
      <c r="S46" s="878"/>
      <c r="T46" s="878"/>
      <c r="U46" s="878"/>
      <c r="V46" s="878"/>
    </row>
    <row r="47" spans="1:26" s="102" customFormat="1">
      <c r="A47" s="101"/>
      <c r="B47" s="101"/>
      <c r="C47" s="101"/>
      <c r="O47" s="878"/>
      <c r="P47" s="878"/>
      <c r="Q47" s="879"/>
      <c r="R47" s="878"/>
      <c r="S47" s="878"/>
      <c r="T47" s="878"/>
      <c r="U47" s="878"/>
      <c r="V47" s="878"/>
    </row>
    <row r="48" spans="1:26" s="102" customFormat="1">
      <c r="A48" s="101"/>
      <c r="B48" s="101"/>
      <c r="C48" s="101"/>
      <c r="D48" s="102" t="s">
        <v>1717</v>
      </c>
      <c r="G48" s="102">
        <v>1593382</v>
      </c>
      <c r="H48" s="102">
        <v>1345834</v>
      </c>
      <c r="I48" s="102">
        <v>634489</v>
      </c>
      <c r="J48" s="102">
        <v>369128</v>
      </c>
      <c r="K48" s="102">
        <v>1159579</v>
      </c>
      <c r="L48" s="102">
        <v>3509033</v>
      </c>
      <c r="M48" s="102">
        <v>0</v>
      </c>
      <c r="N48" s="102">
        <v>6579989</v>
      </c>
      <c r="O48" s="878">
        <v>0</v>
      </c>
      <c r="P48" s="878">
        <v>0</v>
      </c>
      <c r="Q48" s="879">
        <v>0</v>
      </c>
      <c r="R48" s="878">
        <v>0</v>
      </c>
      <c r="S48" s="878">
        <v>0</v>
      </c>
      <c r="T48" s="878">
        <v>0</v>
      </c>
      <c r="U48" s="878">
        <v>0</v>
      </c>
      <c r="V48" s="878">
        <v>0</v>
      </c>
      <c r="X48" s="729">
        <v>15191434</v>
      </c>
    </row>
    <row r="49" spans="1:24" s="102" customFormat="1">
      <c r="A49" s="101"/>
      <c r="B49" s="101"/>
      <c r="C49" s="101"/>
      <c r="G49" s="120">
        <f t="shared" ref="G49:X49" si="2">G45-G48</f>
        <v>0</v>
      </c>
      <c r="H49" s="120">
        <f t="shared" si="2"/>
        <v>0</v>
      </c>
      <c r="I49" s="120">
        <f t="shared" si="2"/>
        <v>0</v>
      </c>
      <c r="J49" s="120">
        <f t="shared" si="2"/>
        <v>0</v>
      </c>
      <c r="K49" s="120">
        <f t="shared" si="2"/>
        <v>0</v>
      </c>
      <c r="L49" s="120">
        <f t="shared" si="2"/>
        <v>0</v>
      </c>
      <c r="M49" s="120">
        <f t="shared" si="2"/>
        <v>0</v>
      </c>
      <c r="N49" s="120">
        <f t="shared" si="2"/>
        <v>0</v>
      </c>
      <c r="O49" s="120">
        <f t="shared" si="2"/>
        <v>0</v>
      </c>
      <c r="P49" s="120">
        <f t="shared" si="2"/>
        <v>0</v>
      </c>
      <c r="Q49" s="120">
        <f t="shared" si="2"/>
        <v>0</v>
      </c>
      <c r="R49" s="120">
        <f t="shared" si="2"/>
        <v>0</v>
      </c>
      <c r="S49" s="120">
        <f t="shared" si="2"/>
        <v>0</v>
      </c>
      <c r="T49" s="120">
        <f t="shared" si="2"/>
        <v>0</v>
      </c>
      <c r="U49" s="120">
        <f t="shared" si="2"/>
        <v>0</v>
      </c>
      <c r="V49" s="120">
        <f t="shared" si="2"/>
        <v>0</v>
      </c>
      <c r="W49" s="120">
        <f t="shared" si="2"/>
        <v>0</v>
      </c>
      <c r="X49" s="120">
        <f t="shared" si="2"/>
        <v>0</v>
      </c>
    </row>
    <row r="50" spans="1:24" s="102" customFormat="1">
      <c r="A50" s="101"/>
      <c r="B50" s="101"/>
      <c r="C50" s="101"/>
      <c r="Q50" s="101"/>
      <c r="S50" s="120"/>
      <c r="T50" s="120"/>
      <c r="U50" s="120"/>
      <c r="V50" s="120"/>
    </row>
    <row r="51" spans="1:24" s="102" customFormat="1">
      <c r="A51" s="101"/>
      <c r="B51" s="101"/>
      <c r="C51" s="101"/>
      <c r="Q51" s="101"/>
    </row>
    <row r="52" spans="1:24" s="102" customFormat="1">
      <c r="A52" s="101"/>
      <c r="B52" s="101"/>
      <c r="C52" s="101"/>
      <c r="Q52" s="101"/>
    </row>
    <row r="53" spans="1:24" s="102" customFormat="1">
      <c r="A53" s="101"/>
      <c r="B53" s="101"/>
      <c r="C53" s="101"/>
      <c r="Q53" s="101"/>
    </row>
    <row r="54" spans="1:24" s="102" customFormat="1">
      <c r="A54" s="101"/>
      <c r="B54" s="101"/>
      <c r="C54" s="101"/>
      <c r="Q54" s="101"/>
    </row>
    <row r="55" spans="1:24" s="102" customFormat="1">
      <c r="A55" s="101"/>
      <c r="B55" s="101"/>
      <c r="C55" s="101"/>
      <c r="Q55" s="101"/>
    </row>
    <row r="56" spans="1:24" s="102" customFormat="1">
      <c r="A56" s="101"/>
      <c r="B56" s="101"/>
      <c r="C56" s="101"/>
      <c r="Q56" s="101"/>
    </row>
    <row r="57" spans="1:24" s="102" customFormat="1">
      <c r="A57" s="101"/>
      <c r="B57" s="101"/>
      <c r="C57" s="101"/>
      <c r="Q57" s="101"/>
    </row>
    <row r="58" spans="1:24" s="102" customFormat="1">
      <c r="A58" s="101"/>
      <c r="B58" s="101"/>
      <c r="C58" s="101"/>
      <c r="Q58" s="101"/>
    </row>
    <row r="59" spans="1:24" s="102" customFormat="1">
      <c r="A59" s="101"/>
      <c r="B59" s="101"/>
      <c r="C59" s="101"/>
      <c r="Q59" s="101"/>
    </row>
    <row r="60" spans="1:24" s="102" customFormat="1">
      <c r="A60" s="101"/>
      <c r="B60" s="101"/>
      <c r="C60" s="101"/>
      <c r="Q60" s="101"/>
    </row>
    <row r="61" spans="1:24" s="102" customFormat="1">
      <c r="A61" s="101"/>
      <c r="B61" s="101"/>
      <c r="C61" s="101"/>
      <c r="Q61" s="101"/>
    </row>
    <row r="62" spans="1:24" s="102" customFormat="1">
      <c r="A62" s="101"/>
      <c r="B62" s="101"/>
      <c r="C62" s="101"/>
      <c r="Q62" s="101"/>
    </row>
    <row r="63" spans="1:24" s="102" customFormat="1" ht="45">
      <c r="A63" s="101"/>
      <c r="B63" s="101"/>
      <c r="C63" s="101"/>
      <c r="D63" s="454" t="s">
        <v>1203</v>
      </c>
      <c r="E63" s="1150">
        <v>30</v>
      </c>
      <c r="Q63" s="101"/>
    </row>
    <row r="64" spans="1:24" s="102" customFormat="1" ht="45">
      <c r="A64" s="101"/>
      <c r="B64" s="101"/>
      <c r="C64" s="101"/>
      <c r="D64" s="454" t="s">
        <v>99</v>
      </c>
      <c r="E64" s="1150">
        <v>40</v>
      </c>
      <c r="Q64" s="101"/>
    </row>
    <row r="65" spans="1:17" s="102" customFormat="1" ht="45">
      <c r="A65" s="101"/>
      <c r="B65" s="101"/>
      <c r="C65" s="101"/>
      <c r="D65" s="454" t="s">
        <v>102</v>
      </c>
      <c r="E65" s="1150">
        <v>89</v>
      </c>
      <c r="Q65" s="101"/>
    </row>
    <row r="66" spans="1:17" s="102" customFormat="1" ht="45">
      <c r="A66" s="101"/>
      <c r="B66" s="101"/>
      <c r="C66" s="101"/>
      <c r="D66" s="931" t="s">
        <v>104</v>
      </c>
      <c r="E66" s="1150">
        <v>130</v>
      </c>
      <c r="Q66" s="101"/>
    </row>
    <row r="67" spans="1:17" s="102" customFormat="1" ht="30">
      <c r="A67" s="101"/>
      <c r="B67" s="101"/>
      <c r="C67" s="101"/>
      <c r="D67" s="454" t="s">
        <v>106</v>
      </c>
      <c r="E67" s="1150">
        <v>412</v>
      </c>
      <c r="Q67" s="101"/>
    </row>
    <row r="68" spans="1:17" s="102" customFormat="1" ht="30">
      <c r="A68" s="101"/>
      <c r="B68" s="101"/>
      <c r="C68" s="101"/>
      <c r="D68" s="454" t="s">
        <v>1230</v>
      </c>
      <c r="E68" s="1150">
        <v>862</v>
      </c>
      <c r="Q68" s="101"/>
    </row>
    <row r="69" spans="1:17" s="102" customFormat="1" ht="45">
      <c r="A69" s="101"/>
      <c r="B69" s="101"/>
      <c r="C69" s="101"/>
      <c r="D69" s="454" t="s">
        <v>98</v>
      </c>
      <c r="E69" s="1150">
        <v>11618</v>
      </c>
      <c r="Q69" s="101"/>
    </row>
    <row r="70" spans="1:17" s="102" customFormat="1" ht="30">
      <c r="A70" s="101"/>
      <c r="B70" s="101"/>
      <c r="C70" s="101"/>
      <c r="D70" s="454" t="s">
        <v>100</v>
      </c>
      <c r="E70" s="1150">
        <v>25554</v>
      </c>
      <c r="Q70" s="101"/>
    </row>
    <row r="71" spans="1:17" s="102" customFormat="1" ht="45">
      <c r="A71" s="101"/>
      <c r="B71" s="101"/>
      <c r="C71" s="101"/>
      <c r="D71" s="454" t="s">
        <v>1297</v>
      </c>
      <c r="E71" s="1151">
        <v>42439</v>
      </c>
      <c r="Q71" s="101"/>
    </row>
    <row r="72" spans="1:17" s="102" customFormat="1" ht="30">
      <c r="A72" s="101"/>
      <c r="B72" s="101"/>
      <c r="C72" s="101"/>
      <c r="D72" s="454" t="s">
        <v>97</v>
      </c>
      <c r="E72" s="1150">
        <v>104952</v>
      </c>
      <c r="Q72" s="101"/>
    </row>
    <row r="73" spans="1:17" s="102" customFormat="1" ht="47.25">
      <c r="A73" s="101"/>
      <c r="B73" s="101"/>
      <c r="C73" s="101"/>
      <c r="D73" s="925" t="s">
        <v>1316</v>
      </c>
      <c r="E73" s="1152">
        <v>203599</v>
      </c>
      <c r="Q73" s="101"/>
    </row>
    <row r="74" spans="1:17" s="102" customFormat="1" ht="31.5">
      <c r="A74" s="101"/>
      <c r="B74" s="101"/>
      <c r="C74" s="101"/>
      <c r="D74" s="919" t="s">
        <v>1315</v>
      </c>
      <c r="E74" s="1153">
        <v>203658</v>
      </c>
      <c r="Q74" s="101"/>
    </row>
    <row r="75" spans="1:17" s="102" customFormat="1">
      <c r="A75" s="101"/>
      <c r="B75" s="101"/>
      <c r="C75" s="101"/>
      <c r="Q75" s="101"/>
    </row>
    <row r="76" spans="1:17" s="102" customFormat="1">
      <c r="A76" s="101"/>
      <c r="B76" s="101"/>
      <c r="C76" s="101"/>
      <c r="Q76" s="101"/>
    </row>
    <row r="77" spans="1:17" s="102" customFormat="1">
      <c r="A77" s="101"/>
      <c r="B77" s="101"/>
      <c r="C77" s="101"/>
      <c r="Q77" s="101"/>
    </row>
    <row r="78" spans="1:17" s="102" customFormat="1">
      <c r="A78" s="101"/>
      <c r="B78" s="101"/>
      <c r="C78" s="101"/>
      <c r="Q78" s="101"/>
    </row>
    <row r="79" spans="1:17" s="102" customFormat="1">
      <c r="A79" s="101"/>
      <c r="B79" s="101"/>
      <c r="C79" s="101"/>
      <c r="Q79" s="101"/>
    </row>
    <row r="80" spans="1:17" s="102" customFormat="1">
      <c r="A80" s="101"/>
      <c r="B80" s="101"/>
      <c r="C80" s="101"/>
      <c r="Q80" s="101"/>
    </row>
    <row r="81" spans="1:17" s="102" customFormat="1">
      <c r="A81" s="101"/>
      <c r="B81" s="101"/>
      <c r="C81" s="101"/>
      <c r="Q81" s="101"/>
    </row>
    <row r="82" spans="1:17" s="102" customFormat="1">
      <c r="A82" s="101"/>
      <c r="B82" s="101"/>
      <c r="C82" s="101"/>
      <c r="Q82" s="101"/>
    </row>
    <row r="83" spans="1:17" s="102" customFormat="1">
      <c r="A83" s="101"/>
      <c r="B83" s="101"/>
      <c r="C83" s="101"/>
      <c r="Q83" s="101"/>
    </row>
    <row r="84" spans="1:17" s="102" customFormat="1">
      <c r="A84" s="101"/>
      <c r="B84" s="101"/>
      <c r="C84" s="101"/>
      <c r="Q84" s="101"/>
    </row>
    <row r="85" spans="1:17" s="102" customFormat="1">
      <c r="A85" s="101"/>
      <c r="B85" s="101"/>
      <c r="C85" s="101"/>
      <c r="Q85" s="101"/>
    </row>
    <row r="86" spans="1:17" s="102" customFormat="1">
      <c r="A86" s="101"/>
      <c r="B86" s="101"/>
      <c r="C86" s="101"/>
      <c r="Q86" s="101"/>
    </row>
    <row r="87" spans="1:17" s="102" customFormat="1">
      <c r="A87" s="101"/>
      <c r="B87" s="101"/>
      <c r="C87" s="101"/>
      <c r="Q87" s="101"/>
    </row>
    <row r="88" spans="1:17" s="102" customFormat="1">
      <c r="A88" s="101"/>
      <c r="B88" s="101"/>
      <c r="C88" s="101"/>
      <c r="Q88" s="101"/>
    </row>
    <row r="89" spans="1:17" s="102" customFormat="1">
      <c r="A89" s="101"/>
      <c r="B89" s="101"/>
      <c r="C89" s="101"/>
      <c r="Q89" s="101"/>
    </row>
    <row r="90" spans="1:17" s="102" customFormat="1">
      <c r="A90" s="101"/>
      <c r="B90" s="101"/>
      <c r="C90" s="101"/>
      <c r="Q90" s="101"/>
    </row>
    <row r="91" spans="1:17" s="102" customFormat="1">
      <c r="A91" s="101"/>
      <c r="B91" s="101"/>
      <c r="C91" s="101"/>
      <c r="Q91" s="101"/>
    </row>
    <row r="92" spans="1:17" s="102" customFormat="1">
      <c r="A92" s="101"/>
      <c r="B92" s="101"/>
      <c r="C92" s="101"/>
      <c r="Q92" s="101"/>
    </row>
    <row r="93" spans="1:17" s="102" customFormat="1">
      <c r="A93" s="101"/>
      <c r="B93" s="101"/>
      <c r="C93" s="101"/>
      <c r="Q93" s="101"/>
    </row>
    <row r="94" spans="1:17" s="102" customFormat="1">
      <c r="A94" s="101"/>
      <c r="B94" s="101"/>
      <c r="C94" s="101"/>
      <c r="Q94" s="101"/>
    </row>
    <row r="95" spans="1:17" s="102" customFormat="1">
      <c r="A95" s="101"/>
      <c r="B95" s="101"/>
      <c r="C95" s="101"/>
      <c r="Q95" s="101"/>
    </row>
    <row r="96" spans="1:17" s="102" customFormat="1">
      <c r="A96" s="101"/>
      <c r="B96" s="101"/>
      <c r="C96" s="101"/>
      <c r="Q96" s="101"/>
    </row>
    <row r="97" spans="1:17" s="102" customFormat="1">
      <c r="A97" s="101"/>
      <c r="B97" s="101"/>
      <c r="C97" s="101"/>
      <c r="Q97" s="101"/>
    </row>
    <row r="98" spans="1:17" s="102" customFormat="1">
      <c r="A98" s="101"/>
      <c r="B98" s="101"/>
      <c r="C98" s="101"/>
      <c r="Q98" s="101"/>
    </row>
    <row r="99" spans="1:17" s="102" customFormat="1">
      <c r="A99" s="101"/>
      <c r="B99" s="101"/>
      <c r="C99" s="101"/>
      <c r="Q99" s="101"/>
    </row>
    <row r="100" spans="1:17" s="102" customFormat="1">
      <c r="A100" s="101"/>
      <c r="B100" s="101"/>
      <c r="C100" s="101"/>
      <c r="Q100" s="101"/>
    </row>
    <row r="101" spans="1:17" s="102" customFormat="1">
      <c r="A101" s="101"/>
      <c r="B101" s="101"/>
      <c r="C101" s="101"/>
      <c r="Q101" s="101"/>
    </row>
    <row r="102" spans="1:17" s="102" customFormat="1">
      <c r="A102" s="101"/>
      <c r="B102" s="101"/>
      <c r="C102" s="101"/>
      <c r="Q102" s="101"/>
    </row>
    <row r="103" spans="1:17" s="102" customFormat="1">
      <c r="A103" s="101"/>
      <c r="B103" s="101"/>
      <c r="C103" s="101"/>
      <c r="Q103" s="101"/>
    </row>
    <row r="104" spans="1:17" s="102" customFormat="1">
      <c r="A104" s="101"/>
      <c r="B104" s="101"/>
      <c r="C104" s="101"/>
      <c r="Q104" s="101"/>
    </row>
    <row r="105" spans="1:17" s="102" customFormat="1">
      <c r="A105" s="101"/>
      <c r="B105" s="101"/>
      <c r="C105" s="101"/>
      <c r="Q105" s="101"/>
    </row>
    <row r="106" spans="1:17" s="102" customFormat="1">
      <c r="A106" s="101"/>
      <c r="B106" s="101"/>
      <c r="C106" s="101"/>
      <c r="Q106" s="101"/>
    </row>
    <row r="107" spans="1:17" s="102" customFormat="1">
      <c r="A107" s="101"/>
      <c r="B107" s="101"/>
      <c r="C107" s="101"/>
      <c r="Q107" s="101"/>
    </row>
    <row r="108" spans="1:17" s="102" customFormat="1">
      <c r="A108" s="101"/>
      <c r="B108" s="101"/>
      <c r="C108" s="101"/>
      <c r="Q108" s="101"/>
    </row>
    <row r="109" spans="1:17" s="102" customFormat="1">
      <c r="A109" s="101"/>
      <c r="B109" s="101"/>
      <c r="C109" s="101"/>
      <c r="Q109" s="101"/>
    </row>
    <row r="110" spans="1:17" s="102" customFormat="1">
      <c r="A110" s="101"/>
      <c r="B110" s="101"/>
      <c r="C110" s="101"/>
      <c r="Q110" s="101"/>
    </row>
    <row r="111" spans="1:17" s="102" customFormat="1">
      <c r="A111" s="101"/>
      <c r="B111" s="101"/>
      <c r="C111" s="101"/>
      <c r="Q111" s="101"/>
    </row>
    <row r="112" spans="1:17" s="102" customFormat="1">
      <c r="A112" s="101"/>
      <c r="B112" s="101"/>
      <c r="C112" s="101"/>
      <c r="Q112" s="101"/>
    </row>
    <row r="113" spans="1:17" s="102" customFormat="1">
      <c r="A113" s="101"/>
      <c r="B113" s="101"/>
      <c r="C113" s="101"/>
      <c r="Q113" s="101"/>
    </row>
    <row r="114" spans="1:17" s="102" customFormat="1">
      <c r="A114" s="101"/>
      <c r="B114" s="101"/>
      <c r="C114" s="101"/>
      <c r="Q114" s="101"/>
    </row>
    <row r="115" spans="1:17" s="102" customFormat="1">
      <c r="A115" s="101"/>
      <c r="B115" s="101"/>
      <c r="C115" s="101"/>
      <c r="Q115" s="101"/>
    </row>
    <row r="116" spans="1:17" s="102" customFormat="1">
      <c r="A116" s="101"/>
      <c r="B116" s="101"/>
      <c r="C116" s="101"/>
      <c r="Q116" s="101"/>
    </row>
    <row r="117" spans="1:17" s="102" customFormat="1">
      <c r="A117" s="101"/>
      <c r="B117" s="101"/>
      <c r="C117" s="101"/>
      <c r="Q117" s="101"/>
    </row>
    <row r="118" spans="1:17" s="102" customFormat="1">
      <c r="A118" s="101"/>
      <c r="B118" s="101"/>
      <c r="C118" s="101"/>
      <c r="Q118" s="101"/>
    </row>
    <row r="119" spans="1:17" s="102" customFormat="1">
      <c r="A119" s="101"/>
      <c r="B119" s="101"/>
      <c r="C119" s="101"/>
      <c r="Q119" s="101"/>
    </row>
    <row r="120" spans="1:17" s="102" customFormat="1">
      <c r="A120" s="101"/>
      <c r="B120" s="101"/>
      <c r="C120" s="101"/>
      <c r="Q120" s="101"/>
    </row>
    <row r="121" spans="1:17" s="102" customFormat="1">
      <c r="A121" s="101"/>
      <c r="B121" s="101"/>
      <c r="C121" s="101"/>
      <c r="Q121" s="101"/>
    </row>
    <row r="122" spans="1:17" s="102" customFormat="1">
      <c r="A122" s="101"/>
      <c r="B122" s="101"/>
      <c r="C122" s="101"/>
      <c r="Q122" s="101"/>
    </row>
    <row r="123" spans="1:17" s="102" customFormat="1">
      <c r="A123" s="101"/>
      <c r="B123" s="101"/>
      <c r="C123" s="101"/>
      <c r="Q123" s="101"/>
    </row>
    <row r="124" spans="1:17" s="102" customFormat="1">
      <c r="A124" s="101"/>
      <c r="B124" s="101"/>
      <c r="C124" s="101"/>
      <c r="Q124" s="101"/>
    </row>
    <row r="125" spans="1:17" s="102" customFormat="1">
      <c r="A125" s="101"/>
      <c r="B125" s="101"/>
      <c r="C125" s="101"/>
      <c r="Q125" s="101"/>
    </row>
    <row r="126" spans="1:17" s="102" customFormat="1">
      <c r="A126" s="101"/>
      <c r="B126" s="101"/>
      <c r="C126" s="101"/>
      <c r="Q126" s="101"/>
    </row>
    <row r="127" spans="1:17" s="102" customFormat="1">
      <c r="A127" s="101"/>
      <c r="B127" s="101"/>
      <c r="C127" s="101"/>
      <c r="Q127" s="101"/>
    </row>
    <row r="128" spans="1:17" s="102" customFormat="1">
      <c r="A128" s="101"/>
      <c r="B128" s="101"/>
      <c r="C128" s="101"/>
      <c r="Q128" s="101"/>
    </row>
    <row r="129" spans="1:17" s="102" customFormat="1">
      <c r="A129" s="101"/>
      <c r="B129" s="101"/>
      <c r="C129" s="101"/>
      <c r="Q129" s="101"/>
    </row>
    <row r="130" spans="1:17" s="102" customFormat="1">
      <c r="A130" s="101"/>
      <c r="B130" s="101"/>
      <c r="C130" s="101"/>
      <c r="Q130" s="101"/>
    </row>
    <row r="131" spans="1:17" s="102" customFormat="1">
      <c r="A131" s="101"/>
      <c r="B131" s="101"/>
      <c r="C131" s="101"/>
      <c r="Q131" s="101"/>
    </row>
    <row r="132" spans="1:17" s="102" customFormat="1">
      <c r="A132" s="101"/>
      <c r="B132" s="101"/>
      <c r="C132" s="101"/>
      <c r="Q132" s="101"/>
    </row>
    <row r="133" spans="1:17" s="102" customFormat="1">
      <c r="A133" s="101"/>
      <c r="B133" s="101"/>
      <c r="C133" s="101"/>
      <c r="Q133" s="101"/>
    </row>
    <row r="134" spans="1:17" s="102" customFormat="1">
      <c r="A134" s="101"/>
      <c r="B134" s="101"/>
      <c r="C134" s="101"/>
      <c r="Q134" s="101"/>
    </row>
    <row r="135" spans="1:17" s="102" customFormat="1">
      <c r="A135" s="101"/>
      <c r="B135" s="101"/>
      <c r="C135" s="101"/>
      <c r="Q135" s="101"/>
    </row>
    <row r="136" spans="1:17" s="102" customFormat="1">
      <c r="A136" s="101"/>
      <c r="B136" s="101"/>
      <c r="C136" s="101"/>
      <c r="Q136" s="101"/>
    </row>
    <row r="137" spans="1:17" s="102" customFormat="1">
      <c r="A137" s="101"/>
      <c r="B137" s="101"/>
      <c r="C137" s="101"/>
      <c r="Q137" s="101"/>
    </row>
    <row r="138" spans="1:17" s="102" customFormat="1">
      <c r="A138" s="101"/>
      <c r="B138" s="101"/>
      <c r="C138" s="101"/>
      <c r="Q138" s="101"/>
    </row>
    <row r="139" spans="1:17" s="102" customFormat="1">
      <c r="A139" s="101"/>
      <c r="B139" s="101"/>
      <c r="C139" s="101"/>
      <c r="Q139" s="101"/>
    </row>
    <row r="140" spans="1:17" s="102" customFormat="1">
      <c r="A140" s="101"/>
      <c r="B140" s="101"/>
      <c r="C140" s="101"/>
      <c r="Q140" s="101"/>
    </row>
    <row r="141" spans="1:17" s="102" customFormat="1">
      <c r="A141" s="101"/>
      <c r="B141" s="101"/>
      <c r="C141" s="101"/>
      <c r="Q141" s="101"/>
    </row>
    <row r="142" spans="1:17" s="102" customFormat="1">
      <c r="A142" s="101"/>
      <c r="B142" s="101"/>
      <c r="C142" s="101"/>
      <c r="Q142" s="101"/>
    </row>
    <row r="143" spans="1:17" s="102" customFormat="1">
      <c r="A143" s="101"/>
      <c r="B143" s="101"/>
      <c r="C143" s="101"/>
      <c r="Q143" s="101"/>
    </row>
    <row r="144" spans="1:17" s="102" customFormat="1">
      <c r="A144" s="101"/>
      <c r="B144" s="101"/>
      <c r="C144" s="101"/>
      <c r="Q144" s="101"/>
    </row>
    <row r="145" spans="1:17" s="102" customFormat="1">
      <c r="A145" s="101"/>
      <c r="B145" s="101"/>
      <c r="C145" s="101"/>
      <c r="Q145" s="101"/>
    </row>
    <row r="146" spans="1:17" s="102" customFormat="1">
      <c r="A146" s="101"/>
      <c r="B146" s="101"/>
      <c r="C146" s="101"/>
      <c r="Q146" s="101"/>
    </row>
    <row r="147" spans="1:17" s="102" customFormat="1">
      <c r="A147" s="101"/>
      <c r="B147" s="101"/>
      <c r="C147" s="101"/>
      <c r="Q147" s="101"/>
    </row>
    <row r="148" spans="1:17" s="102" customFormat="1">
      <c r="A148" s="101"/>
      <c r="B148" s="101"/>
      <c r="C148" s="101"/>
      <c r="Q148" s="101"/>
    </row>
    <row r="149" spans="1:17" s="102" customFormat="1">
      <c r="A149" s="101"/>
      <c r="B149" s="101"/>
      <c r="C149" s="101"/>
      <c r="Q149" s="101"/>
    </row>
    <row r="150" spans="1:17" s="102" customFormat="1">
      <c r="A150" s="101"/>
      <c r="B150" s="101"/>
      <c r="C150" s="101"/>
      <c r="Q150" s="101"/>
    </row>
    <row r="151" spans="1:17" s="102" customFormat="1">
      <c r="A151" s="101"/>
      <c r="B151" s="101"/>
      <c r="C151" s="101"/>
      <c r="Q151" s="101"/>
    </row>
    <row r="152" spans="1:17" s="102" customFormat="1">
      <c r="A152" s="101"/>
      <c r="B152" s="101"/>
      <c r="C152" s="101"/>
      <c r="Q152" s="101"/>
    </row>
    <row r="153" spans="1:17" s="102" customFormat="1">
      <c r="A153" s="101"/>
      <c r="B153" s="101"/>
      <c r="C153" s="101"/>
      <c r="Q153" s="101"/>
    </row>
    <row r="154" spans="1:17" s="102" customFormat="1">
      <c r="A154" s="101"/>
      <c r="B154" s="101"/>
      <c r="C154" s="101"/>
      <c r="Q154" s="101"/>
    </row>
    <row r="155" spans="1:17" s="102" customFormat="1">
      <c r="A155" s="101"/>
      <c r="B155" s="101"/>
      <c r="C155" s="101"/>
      <c r="Q155" s="101"/>
    </row>
    <row r="156" spans="1:17" s="102" customFormat="1">
      <c r="A156" s="101"/>
      <c r="B156" s="101"/>
      <c r="C156" s="101"/>
      <c r="Q156" s="101"/>
    </row>
    <row r="157" spans="1:17" s="102" customFormat="1">
      <c r="A157" s="101"/>
      <c r="B157" s="101"/>
      <c r="C157" s="101"/>
      <c r="Q157" s="101"/>
    </row>
    <row r="158" spans="1:17" s="102" customFormat="1">
      <c r="A158" s="101"/>
      <c r="B158" s="101"/>
      <c r="C158" s="101"/>
      <c r="Q158" s="101"/>
    </row>
    <row r="159" spans="1:17" s="102" customFormat="1">
      <c r="A159" s="101"/>
      <c r="B159" s="101"/>
      <c r="C159" s="101"/>
      <c r="Q159" s="101"/>
    </row>
    <row r="160" spans="1:17" s="102" customFormat="1">
      <c r="A160" s="101"/>
      <c r="B160" s="101"/>
      <c r="C160" s="101"/>
      <c r="Q160" s="101"/>
    </row>
    <row r="161" spans="1:17" s="102" customFormat="1">
      <c r="A161" s="101"/>
      <c r="B161" s="101"/>
      <c r="C161" s="101"/>
      <c r="Q161" s="101"/>
    </row>
    <row r="162" spans="1:17" s="102" customFormat="1">
      <c r="A162" s="101"/>
      <c r="B162" s="101"/>
      <c r="C162" s="101"/>
      <c r="Q162" s="101"/>
    </row>
    <row r="163" spans="1:17" s="102" customFormat="1">
      <c r="A163" s="101"/>
      <c r="B163" s="101"/>
      <c r="C163" s="101"/>
      <c r="Q163" s="101"/>
    </row>
    <row r="164" spans="1:17" s="102" customFormat="1">
      <c r="A164" s="101"/>
      <c r="B164" s="101"/>
      <c r="C164" s="101"/>
      <c r="Q164" s="101"/>
    </row>
    <row r="165" spans="1:17" s="102" customFormat="1">
      <c r="A165" s="101"/>
      <c r="B165" s="101"/>
      <c r="C165" s="101"/>
      <c r="Q165" s="101"/>
    </row>
    <row r="166" spans="1:17" s="102" customFormat="1">
      <c r="A166" s="101"/>
      <c r="B166" s="101"/>
      <c r="C166" s="101"/>
      <c r="Q166" s="101"/>
    </row>
    <row r="167" spans="1:17" s="102" customFormat="1">
      <c r="A167" s="101"/>
      <c r="B167" s="101"/>
      <c r="C167" s="101"/>
      <c r="Q167" s="101"/>
    </row>
    <row r="168" spans="1:17" s="102" customFormat="1">
      <c r="A168" s="101"/>
      <c r="B168" s="101"/>
      <c r="C168" s="101"/>
      <c r="Q168" s="101"/>
    </row>
    <row r="169" spans="1:17" s="102" customFormat="1">
      <c r="A169" s="101"/>
      <c r="B169" s="101"/>
      <c r="C169" s="101"/>
      <c r="Q169" s="101"/>
    </row>
    <row r="170" spans="1:17" s="102" customFormat="1">
      <c r="A170" s="101"/>
      <c r="B170" s="101"/>
      <c r="C170" s="101"/>
      <c r="Q170" s="101"/>
    </row>
    <row r="171" spans="1:17" s="102" customFormat="1">
      <c r="A171" s="101"/>
      <c r="B171" s="101"/>
      <c r="C171" s="101"/>
      <c r="Q171" s="101"/>
    </row>
    <row r="172" spans="1:17" s="102" customFormat="1">
      <c r="A172" s="101"/>
      <c r="B172" s="101"/>
      <c r="C172" s="101"/>
      <c r="Q172" s="101"/>
    </row>
    <row r="173" spans="1:17" s="102" customFormat="1">
      <c r="A173" s="101"/>
      <c r="B173" s="101"/>
      <c r="C173" s="101"/>
      <c r="Q173" s="101"/>
    </row>
    <row r="174" spans="1:17" s="102" customFormat="1">
      <c r="A174" s="101"/>
      <c r="B174" s="101"/>
      <c r="C174" s="101"/>
      <c r="Q174" s="101"/>
    </row>
    <row r="175" spans="1:17" s="102" customFormat="1">
      <c r="A175" s="101"/>
      <c r="B175" s="101"/>
      <c r="C175" s="101"/>
      <c r="Q175" s="101"/>
    </row>
    <row r="176" spans="1:17" s="102" customFormat="1">
      <c r="A176" s="101"/>
      <c r="B176" s="101"/>
      <c r="C176" s="101"/>
      <c r="Q176" s="101"/>
    </row>
    <row r="177" spans="1:17" s="102" customFormat="1">
      <c r="A177" s="101"/>
      <c r="B177" s="101"/>
      <c r="C177" s="101"/>
      <c r="Q177" s="101"/>
    </row>
    <row r="178" spans="1:17" s="102" customFormat="1">
      <c r="A178" s="101"/>
      <c r="B178" s="101"/>
      <c r="C178" s="101"/>
      <c r="Q178" s="101"/>
    </row>
    <row r="179" spans="1:17" s="102" customFormat="1">
      <c r="A179" s="101"/>
      <c r="B179" s="101"/>
      <c r="C179" s="101"/>
      <c r="Q179" s="101"/>
    </row>
    <row r="180" spans="1:17" s="102" customFormat="1">
      <c r="A180" s="101"/>
      <c r="B180" s="101"/>
      <c r="C180" s="101"/>
      <c r="Q180" s="101"/>
    </row>
    <row r="181" spans="1:17" s="102" customFormat="1">
      <c r="A181" s="101"/>
      <c r="B181" s="101"/>
      <c r="C181" s="101"/>
      <c r="Q181" s="101"/>
    </row>
    <row r="182" spans="1:17" s="102" customFormat="1">
      <c r="A182" s="101"/>
      <c r="B182" s="101"/>
      <c r="C182" s="101"/>
      <c r="Q182" s="101"/>
    </row>
    <row r="183" spans="1:17" s="102" customFormat="1">
      <c r="A183" s="101"/>
      <c r="B183" s="101"/>
      <c r="C183" s="101"/>
      <c r="Q183" s="101"/>
    </row>
    <row r="184" spans="1:17" s="102" customFormat="1">
      <c r="A184" s="101"/>
      <c r="B184" s="101"/>
      <c r="C184" s="101"/>
      <c r="Q184" s="101"/>
    </row>
    <row r="185" spans="1:17" s="102" customFormat="1">
      <c r="A185" s="101"/>
      <c r="B185" s="101"/>
      <c r="C185" s="101"/>
      <c r="Q185" s="101"/>
    </row>
    <row r="186" spans="1:17" s="102" customFormat="1">
      <c r="A186" s="101"/>
      <c r="B186" s="101"/>
      <c r="C186" s="101"/>
      <c r="Q186" s="101"/>
    </row>
    <row r="187" spans="1:17" s="102" customFormat="1">
      <c r="A187" s="101"/>
      <c r="B187" s="101"/>
      <c r="C187" s="101"/>
      <c r="Q187" s="101"/>
    </row>
    <row r="188" spans="1:17" s="102" customFormat="1">
      <c r="A188" s="101"/>
      <c r="B188" s="101"/>
      <c r="C188" s="101"/>
      <c r="Q188" s="101"/>
    </row>
    <row r="189" spans="1:17" s="102" customFormat="1">
      <c r="A189" s="101"/>
      <c r="B189" s="101"/>
      <c r="C189" s="101"/>
      <c r="Q189" s="101"/>
    </row>
    <row r="190" spans="1:17" s="102" customFormat="1">
      <c r="A190" s="101"/>
      <c r="B190" s="101"/>
      <c r="C190" s="101"/>
      <c r="Q190" s="101"/>
    </row>
    <row r="191" spans="1:17" s="102" customFormat="1">
      <c r="A191" s="101"/>
      <c r="B191" s="101"/>
      <c r="C191" s="101"/>
      <c r="Q191" s="101"/>
    </row>
    <row r="192" spans="1:17" s="102" customFormat="1">
      <c r="A192" s="101"/>
      <c r="B192" s="101"/>
      <c r="C192" s="101"/>
      <c r="Q192" s="101"/>
    </row>
    <row r="193" spans="1:17" s="102" customFormat="1">
      <c r="A193" s="101"/>
      <c r="B193" s="101"/>
      <c r="C193" s="101"/>
      <c r="Q193" s="101"/>
    </row>
    <row r="194" spans="1:17" s="102" customFormat="1">
      <c r="A194" s="101"/>
      <c r="B194" s="101"/>
      <c r="C194" s="101"/>
      <c r="Q194" s="101"/>
    </row>
    <row r="195" spans="1:17" s="102" customFormat="1">
      <c r="A195" s="101"/>
      <c r="B195" s="101"/>
      <c r="C195" s="101"/>
      <c r="Q195" s="101"/>
    </row>
    <row r="196" spans="1:17" s="102" customFormat="1">
      <c r="A196" s="101"/>
      <c r="B196" s="101"/>
      <c r="C196" s="101"/>
      <c r="Q196" s="101"/>
    </row>
    <row r="197" spans="1:17" s="102" customFormat="1">
      <c r="A197" s="101"/>
      <c r="B197" s="101"/>
      <c r="C197" s="101"/>
      <c r="Q197" s="101"/>
    </row>
    <row r="198" spans="1:17" s="102" customFormat="1">
      <c r="A198" s="101"/>
      <c r="B198" s="101"/>
      <c r="C198" s="101"/>
      <c r="Q198" s="101"/>
    </row>
    <row r="199" spans="1:17" s="102" customFormat="1">
      <c r="A199" s="101"/>
      <c r="B199" s="101"/>
      <c r="C199" s="101"/>
      <c r="Q199" s="101"/>
    </row>
    <row r="200" spans="1:17" s="102" customFormat="1">
      <c r="A200" s="101"/>
      <c r="B200" s="101"/>
      <c r="C200" s="101"/>
      <c r="Q200" s="101"/>
    </row>
    <row r="201" spans="1:17" s="102" customFormat="1">
      <c r="A201" s="101"/>
      <c r="B201" s="101"/>
      <c r="C201" s="101"/>
      <c r="Q201" s="101"/>
    </row>
    <row r="202" spans="1:17" s="102" customFormat="1">
      <c r="A202" s="101"/>
      <c r="B202" s="101"/>
      <c r="C202" s="101"/>
      <c r="Q202" s="101"/>
    </row>
    <row r="203" spans="1:17" s="102" customFormat="1">
      <c r="A203" s="101"/>
      <c r="B203" s="101"/>
      <c r="C203" s="101"/>
      <c r="Q203" s="101"/>
    </row>
    <row r="204" spans="1:17" s="102" customFormat="1">
      <c r="A204" s="101"/>
      <c r="B204" s="101"/>
      <c r="C204" s="101"/>
      <c r="Q204" s="101"/>
    </row>
    <row r="205" spans="1:17" s="102" customFormat="1">
      <c r="A205" s="101"/>
      <c r="B205" s="101"/>
      <c r="C205" s="101"/>
      <c r="Q205" s="101"/>
    </row>
    <row r="206" spans="1:17" s="102" customFormat="1">
      <c r="A206" s="101"/>
      <c r="B206" s="101"/>
      <c r="C206" s="101"/>
      <c r="Q206" s="101"/>
    </row>
    <row r="207" spans="1:17" s="102" customFormat="1">
      <c r="A207" s="101"/>
      <c r="B207" s="101"/>
      <c r="C207" s="101"/>
      <c r="Q207" s="101"/>
    </row>
    <row r="208" spans="1:17" s="102" customFormat="1">
      <c r="A208" s="101"/>
      <c r="B208" s="101"/>
      <c r="C208" s="101"/>
      <c r="Q208" s="101"/>
    </row>
    <row r="209" spans="1:17" s="102" customFormat="1">
      <c r="A209" s="101"/>
      <c r="B209" s="101"/>
      <c r="C209" s="101"/>
      <c r="Q209" s="101"/>
    </row>
    <row r="210" spans="1:17" s="102" customFormat="1">
      <c r="A210" s="101"/>
      <c r="B210" s="101"/>
      <c r="C210" s="101"/>
      <c r="Q210" s="101"/>
    </row>
    <row r="211" spans="1:17" s="102" customFormat="1">
      <c r="A211" s="101"/>
      <c r="B211" s="101"/>
      <c r="C211" s="101"/>
      <c r="Q211" s="101"/>
    </row>
    <row r="212" spans="1:17" s="102" customFormat="1">
      <c r="A212" s="101"/>
      <c r="B212" s="101"/>
      <c r="C212" s="101"/>
      <c r="Q212" s="101"/>
    </row>
    <row r="213" spans="1:17" s="102" customFormat="1">
      <c r="A213" s="101"/>
      <c r="B213" s="101"/>
      <c r="C213" s="101"/>
      <c r="Q213" s="101"/>
    </row>
    <row r="214" spans="1:17" s="102" customFormat="1">
      <c r="A214" s="101"/>
      <c r="B214" s="101"/>
      <c r="C214" s="101"/>
      <c r="Q214" s="101"/>
    </row>
    <row r="215" spans="1:17" s="102" customFormat="1">
      <c r="A215" s="101"/>
      <c r="B215" s="101"/>
      <c r="C215" s="101"/>
      <c r="Q215" s="101"/>
    </row>
    <row r="216" spans="1:17" s="102" customFormat="1">
      <c r="A216" s="101"/>
      <c r="B216" s="101"/>
      <c r="C216" s="101"/>
      <c r="Q216" s="101"/>
    </row>
    <row r="217" spans="1:17" s="102" customFormat="1">
      <c r="A217" s="101"/>
      <c r="B217" s="101"/>
      <c r="C217" s="101"/>
      <c r="Q217" s="101"/>
    </row>
    <row r="218" spans="1:17" s="102" customFormat="1">
      <c r="A218" s="101"/>
      <c r="B218" s="101"/>
      <c r="C218" s="101"/>
      <c r="Q218" s="101"/>
    </row>
    <row r="219" spans="1:17" s="102" customFormat="1">
      <c r="A219" s="101"/>
      <c r="B219" s="101"/>
      <c r="C219" s="101"/>
      <c r="Q219" s="101"/>
    </row>
    <row r="220" spans="1:17" s="102" customFormat="1">
      <c r="A220" s="101"/>
      <c r="B220" s="101"/>
      <c r="C220" s="101"/>
      <c r="Q220" s="101"/>
    </row>
    <row r="221" spans="1:17" s="102" customFormat="1">
      <c r="A221" s="101"/>
      <c r="B221" s="101"/>
      <c r="C221" s="101"/>
      <c r="Q221" s="101"/>
    </row>
    <row r="222" spans="1:17" s="102" customFormat="1">
      <c r="A222" s="101"/>
      <c r="B222" s="101"/>
      <c r="C222" s="101"/>
      <c r="Q222" s="101"/>
    </row>
    <row r="223" spans="1:17" s="102" customFormat="1">
      <c r="A223" s="101"/>
      <c r="B223" s="101"/>
      <c r="C223" s="101"/>
      <c r="Q223" s="101"/>
    </row>
    <row r="224" spans="1:17" s="102" customFormat="1">
      <c r="A224" s="101"/>
      <c r="B224" s="101"/>
      <c r="C224" s="101"/>
      <c r="Q224" s="101"/>
    </row>
    <row r="225" spans="1:17" s="102" customFormat="1">
      <c r="A225" s="101"/>
      <c r="B225" s="101"/>
      <c r="C225" s="101"/>
      <c r="Q225" s="101"/>
    </row>
    <row r="226" spans="1:17" s="102" customFormat="1">
      <c r="A226" s="101"/>
      <c r="B226" s="101"/>
      <c r="C226" s="101"/>
      <c r="Q226" s="101"/>
    </row>
    <row r="227" spans="1:17" s="102" customFormat="1">
      <c r="A227" s="101"/>
      <c r="B227" s="101"/>
      <c r="C227" s="101"/>
      <c r="Q227" s="101"/>
    </row>
    <row r="228" spans="1:17" s="102" customFormat="1">
      <c r="A228" s="101"/>
      <c r="B228" s="101"/>
      <c r="C228" s="101"/>
      <c r="Q228" s="101"/>
    </row>
    <row r="229" spans="1:17" s="102" customFormat="1">
      <c r="A229" s="101"/>
      <c r="B229" s="101"/>
      <c r="C229" s="101"/>
      <c r="Q229" s="101"/>
    </row>
    <row r="230" spans="1:17" s="102" customFormat="1">
      <c r="A230" s="101"/>
      <c r="B230" s="101"/>
      <c r="C230" s="101"/>
      <c r="Q230" s="101"/>
    </row>
    <row r="231" spans="1:17" s="102" customFormat="1">
      <c r="A231" s="101"/>
      <c r="B231" s="101"/>
      <c r="C231" s="101"/>
      <c r="Q231" s="101"/>
    </row>
    <row r="232" spans="1:17" s="102" customFormat="1">
      <c r="A232" s="101"/>
      <c r="B232" s="101"/>
      <c r="C232" s="101"/>
      <c r="Q232" s="101"/>
    </row>
    <row r="233" spans="1:17" s="102" customFormat="1">
      <c r="A233" s="101"/>
      <c r="B233" s="101"/>
      <c r="C233" s="101"/>
      <c r="Q233" s="101"/>
    </row>
    <row r="234" spans="1:17" s="102" customFormat="1">
      <c r="A234" s="101"/>
      <c r="B234" s="101"/>
      <c r="C234" s="101"/>
      <c r="Q234" s="101"/>
    </row>
    <row r="235" spans="1:17" s="102" customFormat="1">
      <c r="A235" s="101"/>
      <c r="B235" s="101"/>
      <c r="C235" s="101"/>
      <c r="Q235" s="101"/>
    </row>
    <row r="236" spans="1:17" s="102" customFormat="1">
      <c r="A236" s="101"/>
      <c r="B236" s="101"/>
      <c r="C236" s="101"/>
      <c r="Q236" s="101"/>
    </row>
    <row r="237" spans="1:17" s="102" customFormat="1">
      <c r="A237" s="101"/>
      <c r="B237" s="101"/>
      <c r="C237" s="101"/>
      <c r="Q237" s="101"/>
    </row>
    <row r="238" spans="1:17" s="102" customFormat="1">
      <c r="A238" s="101"/>
      <c r="B238" s="101"/>
      <c r="C238" s="101"/>
      <c r="Q238" s="101"/>
    </row>
    <row r="239" spans="1:17" s="102" customFormat="1">
      <c r="A239" s="101"/>
      <c r="B239" s="101"/>
      <c r="C239" s="101"/>
      <c r="Q239" s="101"/>
    </row>
    <row r="240" spans="1:17" s="102" customFormat="1">
      <c r="A240" s="101"/>
      <c r="B240" s="101"/>
      <c r="C240" s="101"/>
      <c r="Q240" s="101"/>
    </row>
    <row r="241" spans="1:17" s="102" customFormat="1">
      <c r="A241" s="101"/>
      <c r="B241" s="101"/>
      <c r="C241" s="101"/>
      <c r="Q241" s="101"/>
    </row>
    <row r="242" spans="1:17" s="102" customFormat="1">
      <c r="A242" s="101"/>
      <c r="B242" s="101"/>
      <c r="C242" s="101"/>
      <c r="Q242" s="101"/>
    </row>
    <row r="243" spans="1:17" s="102" customFormat="1">
      <c r="A243" s="101"/>
      <c r="B243" s="101"/>
      <c r="C243" s="101"/>
      <c r="Q243" s="101"/>
    </row>
    <row r="244" spans="1:17" s="102" customFormat="1">
      <c r="A244" s="101"/>
      <c r="B244" s="101"/>
      <c r="C244" s="101"/>
      <c r="Q244" s="101"/>
    </row>
    <row r="245" spans="1:17" s="102" customFormat="1">
      <c r="A245" s="101"/>
      <c r="B245" s="101"/>
      <c r="C245" s="101"/>
      <c r="Q245" s="101"/>
    </row>
    <row r="246" spans="1:17" s="102" customFormat="1">
      <c r="A246" s="101"/>
      <c r="B246" s="101"/>
      <c r="C246" s="101"/>
      <c r="Q246" s="101"/>
    </row>
    <row r="247" spans="1:17" s="102" customFormat="1">
      <c r="A247" s="101"/>
      <c r="B247" s="101"/>
      <c r="C247" s="101"/>
      <c r="Q247" s="101"/>
    </row>
    <row r="248" spans="1:17" s="102" customFormat="1">
      <c r="A248" s="101"/>
      <c r="B248" s="101"/>
      <c r="C248" s="101"/>
      <c r="Q248" s="101"/>
    </row>
    <row r="249" spans="1:17" s="102" customFormat="1">
      <c r="A249" s="101"/>
      <c r="B249" s="101"/>
      <c r="C249" s="101"/>
      <c r="Q249" s="101"/>
    </row>
    <row r="250" spans="1:17" s="102" customFormat="1">
      <c r="A250" s="101"/>
      <c r="B250" s="101"/>
      <c r="C250" s="101"/>
      <c r="Q250" s="101"/>
    </row>
    <row r="251" spans="1:17" s="102" customFormat="1">
      <c r="A251" s="101"/>
      <c r="B251" s="101"/>
      <c r="C251" s="101"/>
      <c r="Q251" s="101"/>
    </row>
    <row r="252" spans="1:17" s="102" customFormat="1">
      <c r="A252" s="101"/>
      <c r="B252" s="101"/>
      <c r="C252" s="101"/>
      <c r="Q252" s="101"/>
    </row>
    <row r="253" spans="1:17" s="102" customFormat="1">
      <c r="A253" s="101"/>
      <c r="B253" s="101"/>
      <c r="C253" s="101"/>
      <c r="Q253" s="101"/>
    </row>
    <row r="254" spans="1:17" s="102" customFormat="1">
      <c r="A254" s="101"/>
      <c r="B254" s="101"/>
      <c r="C254" s="101"/>
      <c r="Q254" s="101"/>
    </row>
    <row r="255" spans="1:17" s="102" customFormat="1">
      <c r="A255" s="101"/>
      <c r="B255" s="101"/>
      <c r="C255" s="101"/>
      <c r="Q255" s="101"/>
    </row>
    <row r="256" spans="1:17" s="102" customFormat="1">
      <c r="A256" s="101"/>
      <c r="B256" s="101"/>
      <c r="C256" s="101"/>
      <c r="Q256" s="101"/>
    </row>
    <row r="257" spans="1:17" s="102" customFormat="1">
      <c r="A257" s="101"/>
      <c r="B257" s="101"/>
      <c r="C257" s="101"/>
      <c r="Q257" s="101"/>
    </row>
    <row r="258" spans="1:17" s="102" customFormat="1">
      <c r="A258" s="101"/>
      <c r="B258" s="101"/>
      <c r="C258" s="101"/>
      <c r="Q258" s="101"/>
    </row>
    <row r="259" spans="1:17" s="102" customFormat="1">
      <c r="A259" s="101"/>
      <c r="B259" s="101"/>
      <c r="C259" s="101"/>
      <c r="Q259" s="101"/>
    </row>
    <row r="260" spans="1:17" s="102" customFormat="1">
      <c r="A260" s="101"/>
      <c r="B260" s="101"/>
      <c r="C260" s="101"/>
      <c r="Q260" s="101"/>
    </row>
    <row r="261" spans="1:17" s="102" customFormat="1">
      <c r="A261" s="101"/>
      <c r="B261" s="101"/>
      <c r="C261" s="101"/>
      <c r="Q261" s="101"/>
    </row>
    <row r="262" spans="1:17" s="102" customFormat="1">
      <c r="A262" s="101"/>
      <c r="B262" s="101"/>
      <c r="C262" s="101"/>
      <c r="Q262" s="101"/>
    </row>
    <row r="263" spans="1:17" s="102" customFormat="1">
      <c r="A263" s="101"/>
      <c r="B263" s="101"/>
      <c r="C263" s="101"/>
      <c r="Q263" s="101"/>
    </row>
    <row r="264" spans="1:17" s="102" customFormat="1">
      <c r="A264" s="101"/>
      <c r="B264" s="101"/>
      <c r="C264" s="101"/>
      <c r="Q264" s="101"/>
    </row>
    <row r="265" spans="1:17" s="102" customFormat="1">
      <c r="A265" s="101"/>
      <c r="B265" s="101"/>
      <c r="C265" s="101"/>
      <c r="Q265" s="101"/>
    </row>
    <row r="266" spans="1:17" s="102" customFormat="1">
      <c r="A266" s="101"/>
      <c r="B266" s="101"/>
      <c r="C266" s="101"/>
      <c r="Q266" s="101"/>
    </row>
    <row r="267" spans="1:17" s="102" customFormat="1">
      <c r="A267" s="101"/>
      <c r="B267" s="101"/>
      <c r="C267" s="101"/>
      <c r="Q267" s="101"/>
    </row>
    <row r="268" spans="1:17" s="102" customFormat="1">
      <c r="A268" s="101"/>
      <c r="B268" s="101"/>
      <c r="C268" s="101"/>
      <c r="Q268" s="101"/>
    </row>
    <row r="269" spans="1:17" s="102" customFormat="1">
      <c r="A269" s="101"/>
      <c r="B269" s="101"/>
      <c r="C269" s="101"/>
      <c r="Q269" s="101"/>
    </row>
    <row r="270" spans="1:17" s="102" customFormat="1">
      <c r="A270" s="101"/>
      <c r="B270" s="101"/>
      <c r="C270" s="101"/>
      <c r="Q270" s="101"/>
    </row>
    <row r="271" spans="1:17" s="102" customFormat="1">
      <c r="A271" s="101"/>
      <c r="B271" s="101"/>
      <c r="C271" s="101"/>
      <c r="Q271" s="101"/>
    </row>
    <row r="272" spans="1:17" s="102" customFormat="1">
      <c r="A272" s="101"/>
      <c r="B272" s="101"/>
      <c r="C272" s="101"/>
      <c r="Q272" s="101"/>
    </row>
    <row r="273" spans="1:17" s="102" customFormat="1">
      <c r="A273" s="101"/>
      <c r="B273" s="101"/>
      <c r="C273" s="101"/>
      <c r="Q273" s="101"/>
    </row>
    <row r="274" spans="1:17" s="102" customFormat="1">
      <c r="A274" s="101"/>
      <c r="B274" s="101"/>
      <c r="C274" s="101"/>
      <c r="Q274" s="101"/>
    </row>
    <row r="275" spans="1:17" s="102" customFormat="1">
      <c r="A275" s="101"/>
      <c r="B275" s="101"/>
      <c r="C275" s="101"/>
      <c r="Q275" s="101"/>
    </row>
    <row r="276" spans="1:17" s="102" customFormat="1">
      <c r="A276" s="101"/>
      <c r="B276" s="101"/>
      <c r="C276" s="101"/>
      <c r="Q276" s="101"/>
    </row>
    <row r="277" spans="1:17" s="102" customFormat="1">
      <c r="A277" s="101"/>
      <c r="B277" s="101"/>
      <c r="C277" s="101"/>
      <c r="Q277" s="101"/>
    </row>
    <row r="278" spans="1:17" s="102" customFormat="1">
      <c r="A278" s="101"/>
      <c r="B278" s="101"/>
      <c r="C278" s="101"/>
      <c r="Q278" s="101"/>
    </row>
    <row r="279" spans="1:17" s="102" customFormat="1">
      <c r="A279" s="101"/>
      <c r="B279" s="101"/>
      <c r="C279" s="101"/>
      <c r="Q279" s="101"/>
    </row>
    <row r="280" spans="1:17" s="102" customFormat="1">
      <c r="A280" s="101"/>
      <c r="B280" s="101"/>
      <c r="C280" s="101"/>
      <c r="Q280" s="101"/>
    </row>
    <row r="281" spans="1:17" s="102" customFormat="1">
      <c r="A281" s="101"/>
      <c r="B281" s="101"/>
      <c r="C281" s="101"/>
      <c r="Q281" s="101"/>
    </row>
    <row r="282" spans="1:17" s="102" customFormat="1">
      <c r="A282" s="101"/>
      <c r="B282" s="101"/>
      <c r="C282" s="101"/>
      <c r="Q282" s="101"/>
    </row>
    <row r="283" spans="1:17" s="102" customFormat="1">
      <c r="A283" s="101"/>
      <c r="B283" s="101"/>
      <c r="C283" s="101"/>
      <c r="Q283" s="101"/>
    </row>
    <row r="284" spans="1:17" s="102" customFormat="1">
      <c r="A284" s="101"/>
      <c r="B284" s="101"/>
      <c r="C284" s="101"/>
      <c r="Q284" s="101"/>
    </row>
    <row r="285" spans="1:17" s="102" customFormat="1">
      <c r="A285" s="101"/>
      <c r="B285" s="101"/>
      <c r="C285" s="101"/>
      <c r="Q285" s="101"/>
    </row>
    <row r="286" spans="1:17" s="102" customFormat="1">
      <c r="A286" s="101"/>
      <c r="B286" s="101"/>
      <c r="C286" s="101"/>
      <c r="Q286" s="101"/>
    </row>
    <row r="287" spans="1:17" s="102" customFormat="1">
      <c r="A287" s="101"/>
      <c r="B287" s="101"/>
      <c r="C287" s="101"/>
      <c r="Q287" s="101"/>
    </row>
    <row r="288" spans="1:17" s="102" customFormat="1">
      <c r="A288" s="101"/>
      <c r="B288" s="101"/>
      <c r="C288" s="101"/>
      <c r="Q288" s="101"/>
    </row>
    <row r="289" spans="1:17" s="102" customFormat="1">
      <c r="A289" s="101"/>
      <c r="B289" s="101"/>
      <c r="C289" s="101"/>
      <c r="Q289" s="101"/>
    </row>
    <row r="290" spans="1:17" s="102" customFormat="1">
      <c r="A290" s="101"/>
      <c r="B290" s="101"/>
      <c r="C290" s="101"/>
      <c r="Q290" s="101"/>
    </row>
    <row r="291" spans="1:17" s="102" customFormat="1">
      <c r="A291" s="101"/>
      <c r="B291" s="101"/>
      <c r="C291" s="101"/>
      <c r="Q291" s="101"/>
    </row>
    <row r="292" spans="1:17" s="102" customFormat="1">
      <c r="A292" s="101"/>
      <c r="B292" s="101"/>
      <c r="C292" s="101"/>
      <c r="Q292" s="101"/>
    </row>
    <row r="293" spans="1:17" s="102" customFormat="1">
      <c r="A293" s="101"/>
      <c r="B293" s="101"/>
      <c r="C293" s="101"/>
      <c r="Q293" s="101"/>
    </row>
    <row r="294" spans="1:17" s="102" customFormat="1">
      <c r="A294" s="101"/>
      <c r="B294" s="101"/>
      <c r="C294" s="101"/>
      <c r="Q294" s="101"/>
    </row>
    <row r="295" spans="1:17" s="102" customFormat="1">
      <c r="A295" s="101"/>
      <c r="B295" s="101"/>
      <c r="C295" s="101"/>
      <c r="Q295" s="101"/>
    </row>
    <row r="296" spans="1:17" s="102" customFormat="1">
      <c r="A296" s="101"/>
      <c r="B296" s="101"/>
      <c r="C296" s="101"/>
      <c r="Q296" s="101"/>
    </row>
    <row r="297" spans="1:17" s="102" customFormat="1">
      <c r="A297" s="101"/>
      <c r="B297" s="101"/>
      <c r="C297" s="101"/>
      <c r="Q297" s="101"/>
    </row>
    <row r="298" spans="1:17" s="102" customFormat="1">
      <c r="A298" s="101"/>
      <c r="B298" s="101"/>
      <c r="C298" s="101"/>
      <c r="Q298" s="101"/>
    </row>
    <row r="299" spans="1:17" s="102" customFormat="1">
      <c r="A299" s="101"/>
      <c r="B299" s="101"/>
      <c r="C299" s="101"/>
      <c r="Q299" s="101"/>
    </row>
    <row r="300" spans="1:17" s="102" customFormat="1">
      <c r="A300" s="101"/>
      <c r="B300" s="101"/>
      <c r="C300" s="101"/>
      <c r="Q300" s="101"/>
    </row>
    <row r="301" spans="1:17" s="102" customFormat="1">
      <c r="A301" s="101"/>
      <c r="B301" s="101"/>
      <c r="C301" s="101"/>
      <c r="Q301" s="101"/>
    </row>
    <row r="302" spans="1:17" s="102" customFormat="1">
      <c r="A302" s="101"/>
      <c r="B302" s="101"/>
      <c r="C302" s="101"/>
      <c r="Q302" s="101"/>
    </row>
    <row r="303" spans="1:17" s="102" customFormat="1">
      <c r="A303" s="101"/>
      <c r="B303" s="101"/>
      <c r="C303" s="101"/>
      <c r="Q303" s="101"/>
    </row>
    <row r="304" spans="1:17" s="102" customFormat="1">
      <c r="A304" s="101"/>
      <c r="B304" s="101"/>
      <c r="C304" s="101"/>
      <c r="Q304" s="101"/>
    </row>
    <row r="305" spans="1:17" s="102" customFormat="1">
      <c r="A305" s="101"/>
      <c r="B305" s="101"/>
      <c r="C305" s="101"/>
      <c r="Q305" s="101"/>
    </row>
    <row r="306" spans="1:17" s="102" customFormat="1">
      <c r="A306" s="101"/>
      <c r="B306" s="101"/>
      <c r="C306" s="101"/>
      <c r="Q306" s="101"/>
    </row>
    <row r="307" spans="1:17" s="102" customFormat="1">
      <c r="A307" s="101"/>
      <c r="B307" s="101"/>
      <c r="C307" s="101"/>
      <c r="Q307" s="101"/>
    </row>
    <row r="308" spans="1:17" s="102" customFormat="1">
      <c r="A308" s="101"/>
      <c r="B308" s="101"/>
      <c r="C308" s="101"/>
      <c r="Q308" s="101"/>
    </row>
    <row r="309" spans="1:17" s="102" customFormat="1">
      <c r="A309" s="101"/>
      <c r="B309" s="101"/>
      <c r="C309" s="101"/>
      <c r="Q309" s="101"/>
    </row>
    <row r="310" spans="1:17" s="102" customFormat="1">
      <c r="A310" s="101"/>
      <c r="B310" s="101"/>
      <c r="C310" s="101"/>
      <c r="Q310" s="101"/>
    </row>
    <row r="311" spans="1:17" s="102" customFormat="1">
      <c r="A311" s="101"/>
      <c r="B311" s="101"/>
      <c r="C311" s="101"/>
      <c r="Q311" s="101"/>
    </row>
    <row r="312" spans="1:17" s="102" customFormat="1">
      <c r="A312" s="101"/>
      <c r="B312" s="101"/>
      <c r="C312" s="101"/>
      <c r="Q312" s="101"/>
    </row>
    <row r="313" spans="1:17" s="102" customFormat="1">
      <c r="A313" s="101"/>
      <c r="B313" s="101"/>
      <c r="C313" s="101"/>
      <c r="Q313" s="101"/>
    </row>
    <row r="314" spans="1:17" s="102" customFormat="1">
      <c r="A314" s="101"/>
      <c r="B314" s="101"/>
      <c r="C314" s="101"/>
      <c r="Q314" s="101"/>
    </row>
    <row r="315" spans="1:17" s="102" customFormat="1">
      <c r="A315" s="101"/>
      <c r="B315" s="101"/>
      <c r="C315" s="101"/>
      <c r="Q315" s="101"/>
    </row>
    <row r="316" spans="1:17" s="102" customFormat="1">
      <c r="A316" s="101"/>
      <c r="B316" s="101"/>
      <c r="C316" s="101"/>
      <c r="Q316" s="101"/>
    </row>
    <row r="317" spans="1:17" s="102" customFormat="1">
      <c r="A317" s="101"/>
      <c r="B317" s="101"/>
      <c r="C317" s="101"/>
      <c r="Q317" s="101"/>
    </row>
    <row r="318" spans="1:17" s="102" customFormat="1">
      <c r="A318" s="101"/>
      <c r="B318" s="101"/>
      <c r="C318" s="101"/>
      <c r="Q318" s="101"/>
    </row>
    <row r="319" spans="1:17" s="102" customFormat="1">
      <c r="A319" s="101"/>
      <c r="B319" s="101"/>
      <c r="C319" s="101"/>
      <c r="Q319" s="101"/>
    </row>
    <row r="320" spans="1:17" s="102" customFormat="1">
      <c r="A320" s="101"/>
      <c r="B320" s="101"/>
      <c r="C320" s="101"/>
      <c r="Q320" s="101"/>
    </row>
    <row r="321" spans="1:17" s="102" customFormat="1">
      <c r="A321" s="101"/>
      <c r="B321" s="101"/>
      <c r="C321" s="101"/>
      <c r="Q321" s="101"/>
    </row>
    <row r="322" spans="1:17" s="102" customFormat="1">
      <c r="A322" s="101"/>
      <c r="B322" s="101"/>
      <c r="C322" s="101"/>
      <c r="Q322" s="101"/>
    </row>
    <row r="323" spans="1:17" s="102" customFormat="1">
      <c r="A323" s="101"/>
      <c r="B323" s="101"/>
      <c r="C323" s="101"/>
      <c r="Q323" s="101"/>
    </row>
    <row r="324" spans="1:17" s="102" customFormat="1">
      <c r="A324" s="101"/>
      <c r="B324" s="101"/>
      <c r="C324" s="101"/>
      <c r="Q324" s="101"/>
    </row>
    <row r="325" spans="1:17" s="102" customFormat="1">
      <c r="A325" s="101"/>
      <c r="B325" s="101"/>
      <c r="C325" s="101"/>
      <c r="Q325" s="101"/>
    </row>
    <row r="326" spans="1:17" s="102" customFormat="1">
      <c r="A326" s="101"/>
      <c r="B326" s="101"/>
      <c r="C326" s="101"/>
      <c r="Q326" s="101"/>
    </row>
    <row r="327" spans="1:17" s="102" customFormat="1">
      <c r="A327" s="101"/>
      <c r="B327" s="101"/>
      <c r="C327" s="101"/>
      <c r="Q327" s="101"/>
    </row>
    <row r="328" spans="1:17" s="102" customFormat="1">
      <c r="A328" s="101"/>
      <c r="B328" s="101"/>
      <c r="C328" s="101"/>
      <c r="Q328" s="101"/>
    </row>
    <row r="329" spans="1:17" s="102" customFormat="1">
      <c r="A329" s="101"/>
      <c r="B329" s="101"/>
      <c r="C329" s="101"/>
      <c r="Q329" s="101"/>
    </row>
    <row r="330" spans="1:17" s="102" customFormat="1">
      <c r="A330" s="101"/>
      <c r="B330" s="101"/>
      <c r="C330" s="101"/>
      <c r="Q330" s="101"/>
    </row>
    <row r="331" spans="1:17" s="102" customFormat="1">
      <c r="A331" s="101"/>
      <c r="B331" s="101"/>
      <c r="C331" s="101"/>
      <c r="Q331" s="101"/>
    </row>
    <row r="332" spans="1:17" s="102" customFormat="1">
      <c r="A332" s="101"/>
      <c r="B332" s="101"/>
      <c r="C332" s="101"/>
      <c r="Q332" s="101"/>
    </row>
    <row r="333" spans="1:17" s="102" customFormat="1">
      <c r="A333" s="101"/>
      <c r="B333" s="101"/>
      <c r="C333" s="101"/>
      <c r="Q333" s="101"/>
    </row>
    <row r="334" spans="1:17" s="102" customFormat="1">
      <c r="A334" s="101"/>
      <c r="B334" s="101"/>
      <c r="C334" s="101"/>
      <c r="Q334" s="101"/>
    </row>
    <row r="335" spans="1:17" s="102" customFormat="1">
      <c r="A335" s="101"/>
      <c r="B335" s="101"/>
      <c r="C335" s="101"/>
      <c r="Q335" s="101"/>
    </row>
    <row r="336" spans="1:17" s="102" customFormat="1">
      <c r="A336" s="101"/>
      <c r="B336" s="101"/>
      <c r="C336" s="101"/>
      <c r="Q336" s="101"/>
    </row>
    <row r="337" spans="1:17" s="102" customFormat="1">
      <c r="A337" s="101"/>
      <c r="B337" s="101"/>
      <c r="C337" s="101"/>
      <c r="Q337" s="101"/>
    </row>
    <row r="338" spans="1:17" s="102" customFormat="1">
      <c r="A338" s="101"/>
      <c r="B338" s="101"/>
      <c r="C338" s="101"/>
      <c r="Q338" s="101"/>
    </row>
    <row r="339" spans="1:17" s="102" customFormat="1">
      <c r="A339" s="101"/>
      <c r="B339" s="101"/>
      <c r="C339" s="101"/>
      <c r="Q339" s="101"/>
    </row>
    <row r="340" spans="1:17" s="102" customFormat="1">
      <c r="A340" s="101"/>
      <c r="B340" s="101"/>
      <c r="C340" s="101"/>
      <c r="Q340" s="101"/>
    </row>
    <row r="341" spans="1:17" s="102" customFormat="1">
      <c r="A341" s="101"/>
      <c r="B341" s="101"/>
      <c r="C341" s="101"/>
      <c r="Q341" s="101"/>
    </row>
    <row r="342" spans="1:17" s="102" customFormat="1">
      <c r="A342" s="101"/>
      <c r="B342" s="101"/>
      <c r="C342" s="101"/>
      <c r="Q342" s="101"/>
    </row>
    <row r="343" spans="1:17" s="102" customFormat="1">
      <c r="A343" s="101"/>
      <c r="B343" s="101"/>
      <c r="C343" s="101"/>
      <c r="Q343" s="101"/>
    </row>
    <row r="344" spans="1:17" s="102" customFormat="1">
      <c r="A344" s="101"/>
      <c r="B344" s="101"/>
      <c r="C344" s="101"/>
      <c r="Q344" s="101"/>
    </row>
    <row r="345" spans="1:17" s="102" customFormat="1">
      <c r="A345" s="101"/>
      <c r="B345" s="101"/>
      <c r="C345" s="101"/>
      <c r="Q345" s="101"/>
    </row>
    <row r="346" spans="1:17" s="102" customFormat="1">
      <c r="A346" s="101"/>
      <c r="B346" s="101"/>
      <c r="C346" s="101"/>
      <c r="Q346" s="101"/>
    </row>
    <row r="347" spans="1:17" s="102" customFormat="1">
      <c r="A347" s="101"/>
      <c r="B347" s="101"/>
      <c r="C347" s="101"/>
      <c r="Q347" s="101"/>
    </row>
    <row r="348" spans="1:17" s="102" customFormat="1">
      <c r="A348" s="101"/>
      <c r="B348" s="101"/>
      <c r="C348" s="101"/>
      <c r="Q348" s="101"/>
    </row>
    <row r="349" spans="1:17" s="102" customFormat="1">
      <c r="A349" s="101"/>
      <c r="B349" s="101"/>
      <c r="C349" s="101"/>
      <c r="Q349" s="101"/>
    </row>
    <row r="350" spans="1:17" s="102" customFormat="1">
      <c r="A350" s="101"/>
      <c r="B350" s="101"/>
      <c r="C350" s="101"/>
      <c r="Q350" s="101"/>
    </row>
    <row r="351" spans="1:17" s="102" customFormat="1">
      <c r="A351" s="101"/>
      <c r="B351" s="101"/>
      <c r="C351" s="101"/>
      <c r="Q351" s="101"/>
    </row>
    <row r="352" spans="1:17" s="102" customFormat="1">
      <c r="A352" s="101"/>
      <c r="B352" s="101"/>
      <c r="C352" s="101"/>
      <c r="Q352" s="101"/>
    </row>
    <row r="353" spans="1:17" s="102" customFormat="1">
      <c r="A353" s="101"/>
      <c r="B353" s="101"/>
      <c r="C353" s="101"/>
      <c r="Q353" s="101"/>
    </row>
    <row r="354" spans="1:17" s="102" customFormat="1">
      <c r="A354" s="101"/>
      <c r="B354" s="101"/>
      <c r="C354" s="101"/>
      <c r="Q354" s="101"/>
    </row>
    <row r="355" spans="1:17" s="102" customFormat="1">
      <c r="A355" s="101"/>
      <c r="B355" s="101"/>
      <c r="C355" s="101"/>
      <c r="Q355" s="101"/>
    </row>
    <row r="356" spans="1:17" s="102" customFormat="1">
      <c r="A356" s="101"/>
      <c r="B356" s="101"/>
      <c r="C356" s="101"/>
      <c r="Q356" s="101"/>
    </row>
    <row r="357" spans="1:17" s="102" customFormat="1">
      <c r="A357" s="101"/>
      <c r="B357" s="101"/>
      <c r="C357" s="101"/>
      <c r="Q357" s="101"/>
    </row>
    <row r="358" spans="1:17" s="102" customFormat="1">
      <c r="A358" s="101"/>
      <c r="B358" s="101"/>
      <c r="C358" s="101"/>
      <c r="Q358" s="101"/>
    </row>
    <row r="359" spans="1:17" s="102" customFormat="1">
      <c r="A359" s="101"/>
      <c r="B359" s="101"/>
      <c r="C359" s="101"/>
      <c r="Q359" s="101"/>
    </row>
    <row r="360" spans="1:17" s="102" customFormat="1">
      <c r="A360" s="101"/>
      <c r="B360" s="101"/>
      <c r="C360" s="101"/>
      <c r="Q360" s="101"/>
    </row>
    <row r="361" spans="1:17" s="102" customFormat="1">
      <c r="A361" s="101"/>
      <c r="B361" s="101"/>
      <c r="C361" s="101"/>
      <c r="Q361" s="101"/>
    </row>
    <row r="362" spans="1:17" s="102" customFormat="1">
      <c r="A362" s="101"/>
      <c r="B362" s="101"/>
      <c r="C362" s="101"/>
      <c r="Q362" s="101"/>
    </row>
    <row r="363" spans="1:17" s="102" customFormat="1">
      <c r="A363" s="101"/>
      <c r="B363" s="101"/>
      <c r="C363" s="101"/>
      <c r="Q363" s="101"/>
    </row>
    <row r="364" spans="1:17" s="102" customFormat="1">
      <c r="A364" s="101"/>
      <c r="B364" s="101"/>
      <c r="C364" s="101"/>
      <c r="Q364" s="101"/>
    </row>
    <row r="365" spans="1:17" s="102" customFormat="1">
      <c r="A365" s="101"/>
      <c r="B365" s="101"/>
      <c r="C365" s="101"/>
      <c r="Q365" s="101"/>
    </row>
    <row r="366" spans="1:17" s="102" customFormat="1">
      <c r="A366" s="101"/>
      <c r="B366" s="101"/>
      <c r="C366" s="101"/>
      <c r="Q366" s="101"/>
    </row>
    <row r="367" spans="1:17" s="102" customFormat="1">
      <c r="A367" s="101"/>
      <c r="B367" s="101"/>
      <c r="C367" s="101"/>
      <c r="Q367" s="101"/>
    </row>
    <row r="368" spans="1:17" s="102" customFormat="1">
      <c r="A368" s="101"/>
      <c r="B368" s="101"/>
      <c r="C368" s="101"/>
      <c r="Q368" s="101"/>
    </row>
    <row r="369" spans="1:17" s="102" customFormat="1">
      <c r="A369" s="101"/>
      <c r="B369" s="101"/>
      <c r="C369" s="101"/>
      <c r="Q369" s="101"/>
    </row>
    <row r="370" spans="1:17" s="102" customFormat="1">
      <c r="A370" s="101"/>
      <c r="B370" s="101"/>
      <c r="C370" s="101"/>
      <c r="Q370" s="101"/>
    </row>
    <row r="371" spans="1:17" s="102" customFormat="1">
      <c r="A371" s="101"/>
      <c r="B371" s="101"/>
      <c r="C371" s="101"/>
      <c r="Q371" s="101"/>
    </row>
    <row r="372" spans="1:17" s="102" customFormat="1">
      <c r="A372" s="101"/>
      <c r="B372" s="101"/>
      <c r="C372" s="101"/>
      <c r="Q372" s="101"/>
    </row>
    <row r="373" spans="1:17" s="102" customFormat="1">
      <c r="A373" s="101"/>
      <c r="B373" s="101"/>
      <c r="C373" s="101"/>
      <c r="Q373" s="101"/>
    </row>
    <row r="374" spans="1:17" s="102" customFormat="1">
      <c r="A374" s="101"/>
      <c r="B374" s="101"/>
      <c r="C374" s="101"/>
      <c r="Q374" s="101"/>
    </row>
    <row r="375" spans="1:17" s="102" customFormat="1">
      <c r="A375" s="101"/>
      <c r="B375" s="101"/>
      <c r="C375" s="101"/>
      <c r="Q375" s="101"/>
    </row>
    <row r="376" spans="1:17" s="102" customFormat="1">
      <c r="A376" s="101"/>
      <c r="B376" s="101"/>
      <c r="C376" s="101"/>
      <c r="Q376" s="101"/>
    </row>
    <row r="377" spans="1:17" s="102" customFormat="1">
      <c r="A377" s="101"/>
      <c r="B377" s="101"/>
      <c r="C377" s="101"/>
      <c r="Q377" s="101"/>
    </row>
    <row r="378" spans="1:17" s="102" customFormat="1">
      <c r="A378" s="101"/>
      <c r="B378" s="101"/>
      <c r="C378" s="101"/>
      <c r="Q378" s="101"/>
    </row>
    <row r="379" spans="1:17" s="102" customFormat="1">
      <c r="A379" s="101"/>
      <c r="B379" s="101"/>
      <c r="C379" s="101"/>
      <c r="Q379" s="101"/>
    </row>
    <row r="380" spans="1:17" s="102" customFormat="1">
      <c r="A380" s="101"/>
      <c r="B380" s="101"/>
      <c r="C380" s="101"/>
      <c r="Q380" s="101"/>
    </row>
    <row r="381" spans="1:17" s="102" customFormat="1">
      <c r="A381" s="101"/>
      <c r="B381" s="101"/>
      <c r="C381" s="101"/>
      <c r="Q381" s="101"/>
    </row>
    <row r="382" spans="1:17" s="102" customFormat="1">
      <c r="A382" s="101"/>
      <c r="B382" s="101"/>
      <c r="C382" s="101"/>
      <c r="Q382" s="101"/>
    </row>
    <row r="383" spans="1:17" s="102" customFormat="1">
      <c r="A383" s="101"/>
      <c r="B383" s="101"/>
      <c r="C383" s="101"/>
      <c r="Q383" s="101"/>
    </row>
    <row r="384" spans="1:17" s="102" customFormat="1">
      <c r="A384" s="101"/>
      <c r="B384" s="101"/>
      <c r="C384" s="101"/>
      <c r="Q384" s="101"/>
    </row>
    <row r="385" spans="1:17" s="102" customFormat="1">
      <c r="A385" s="101"/>
      <c r="B385" s="101"/>
      <c r="C385" s="101"/>
      <c r="Q385" s="101"/>
    </row>
    <row r="386" spans="1:17" s="102" customFormat="1">
      <c r="A386" s="101"/>
      <c r="B386" s="101"/>
      <c r="C386" s="101"/>
      <c r="Q386" s="101"/>
    </row>
    <row r="387" spans="1:17" s="102" customFormat="1">
      <c r="A387" s="101"/>
      <c r="B387" s="101"/>
      <c r="C387" s="101"/>
      <c r="Q387" s="101"/>
    </row>
    <row r="388" spans="1:17" s="102" customFormat="1">
      <c r="A388" s="101"/>
      <c r="B388" s="101"/>
      <c r="C388" s="101"/>
      <c r="Q388" s="101"/>
    </row>
    <row r="389" spans="1:17" s="102" customFormat="1">
      <c r="A389" s="101"/>
      <c r="B389" s="101"/>
      <c r="C389" s="101"/>
      <c r="Q389" s="101"/>
    </row>
    <row r="390" spans="1:17" s="102" customFormat="1">
      <c r="A390" s="101"/>
      <c r="B390" s="101"/>
      <c r="C390" s="101"/>
      <c r="Q390" s="101"/>
    </row>
    <row r="391" spans="1:17" s="102" customFormat="1">
      <c r="A391" s="101"/>
      <c r="B391" s="101"/>
      <c r="C391" s="101"/>
      <c r="Q391" s="101"/>
    </row>
    <row r="392" spans="1:17" s="102" customFormat="1">
      <c r="A392" s="101"/>
      <c r="B392" s="101"/>
      <c r="C392" s="101"/>
      <c r="Q392" s="101"/>
    </row>
    <row r="393" spans="1:17" s="102" customFormat="1">
      <c r="A393" s="101"/>
      <c r="B393" s="101"/>
      <c r="C393" s="101"/>
      <c r="Q393" s="101"/>
    </row>
    <row r="394" spans="1:17" s="102" customFormat="1">
      <c r="A394" s="101"/>
      <c r="B394" s="101"/>
      <c r="C394" s="101"/>
      <c r="Q394" s="101"/>
    </row>
    <row r="395" spans="1:17" s="102" customFormat="1">
      <c r="A395" s="101"/>
      <c r="B395" s="101"/>
      <c r="C395" s="101"/>
      <c r="Q395" s="101"/>
    </row>
    <row r="396" spans="1:17" s="102" customFormat="1">
      <c r="A396" s="101"/>
      <c r="B396" s="101"/>
      <c r="C396" s="101"/>
      <c r="Q396" s="101"/>
    </row>
    <row r="397" spans="1:17" s="102" customFormat="1">
      <c r="A397" s="101"/>
      <c r="B397" s="101"/>
      <c r="C397" s="101"/>
      <c r="Q397" s="101"/>
    </row>
    <row r="398" spans="1:17" s="102" customFormat="1">
      <c r="A398" s="101"/>
      <c r="B398" s="101"/>
      <c r="C398" s="101"/>
      <c r="Q398" s="101"/>
    </row>
    <row r="399" spans="1:17" s="102" customFormat="1">
      <c r="A399" s="101"/>
      <c r="B399" s="101"/>
      <c r="C399" s="101"/>
      <c r="Q399" s="101"/>
    </row>
    <row r="400" spans="1:17" s="102" customFormat="1">
      <c r="A400" s="101"/>
      <c r="B400" s="101"/>
      <c r="C400" s="101"/>
      <c r="Q400" s="101"/>
    </row>
    <row r="401" spans="1:17" s="102" customFormat="1">
      <c r="A401" s="101"/>
      <c r="B401" s="101"/>
      <c r="C401" s="101"/>
      <c r="Q401" s="101"/>
    </row>
    <row r="402" spans="1:17" s="102" customFormat="1">
      <c r="A402" s="101"/>
      <c r="B402" s="101"/>
      <c r="C402" s="101"/>
      <c r="Q402" s="101"/>
    </row>
    <row r="403" spans="1:17" s="102" customFormat="1">
      <c r="A403" s="101"/>
      <c r="B403" s="101"/>
      <c r="C403" s="101"/>
      <c r="Q403" s="101"/>
    </row>
    <row r="404" spans="1:17" s="102" customFormat="1">
      <c r="A404" s="101"/>
      <c r="B404" s="101"/>
      <c r="C404" s="101"/>
      <c r="Q404" s="101"/>
    </row>
    <row r="405" spans="1:17" s="102" customFormat="1">
      <c r="A405" s="101"/>
      <c r="B405" s="101"/>
      <c r="C405" s="101"/>
      <c r="Q405" s="101"/>
    </row>
    <row r="406" spans="1:17" s="102" customFormat="1">
      <c r="A406" s="101"/>
      <c r="B406" s="101"/>
      <c r="C406" s="101"/>
      <c r="Q406" s="101"/>
    </row>
    <row r="407" spans="1:17" s="102" customFormat="1">
      <c r="A407" s="101"/>
      <c r="B407" s="101"/>
      <c r="C407" s="101"/>
      <c r="Q407" s="101"/>
    </row>
    <row r="408" spans="1:17" s="102" customFormat="1">
      <c r="A408" s="101"/>
      <c r="B408" s="101"/>
      <c r="C408" s="101"/>
      <c r="Q408" s="101"/>
    </row>
    <row r="409" spans="1:17" s="102" customFormat="1">
      <c r="A409" s="101"/>
      <c r="B409" s="101"/>
      <c r="C409" s="101"/>
      <c r="Q409" s="101"/>
    </row>
    <row r="410" spans="1:17" s="102" customFormat="1">
      <c r="A410" s="101"/>
      <c r="B410" s="101"/>
      <c r="C410" s="101"/>
      <c r="Q410" s="101"/>
    </row>
    <row r="411" spans="1:17" s="102" customFormat="1">
      <c r="A411" s="101"/>
      <c r="B411" s="101"/>
      <c r="C411" s="101"/>
      <c r="Q411" s="101"/>
    </row>
    <row r="412" spans="1:17" s="102" customFormat="1">
      <c r="A412" s="101"/>
      <c r="B412" s="101"/>
      <c r="C412" s="101"/>
      <c r="Q412" s="101"/>
    </row>
    <row r="413" spans="1:17" s="102" customFormat="1">
      <c r="A413" s="101"/>
      <c r="B413" s="101"/>
      <c r="C413" s="101"/>
      <c r="Q413" s="101"/>
    </row>
    <row r="414" spans="1:17" s="102" customFormat="1">
      <c r="A414" s="101"/>
      <c r="B414" s="101"/>
      <c r="C414" s="101"/>
      <c r="Q414" s="101"/>
    </row>
    <row r="415" spans="1:17" s="102" customFormat="1">
      <c r="A415" s="101"/>
      <c r="B415" s="101"/>
      <c r="C415" s="101"/>
      <c r="Q415" s="101"/>
    </row>
    <row r="416" spans="1:17" s="102" customFormat="1">
      <c r="A416" s="101"/>
      <c r="B416" s="101"/>
      <c r="C416" s="101"/>
      <c r="Q416" s="101"/>
    </row>
    <row r="417" spans="1:17" s="102" customFormat="1">
      <c r="A417" s="101"/>
      <c r="B417" s="101"/>
      <c r="C417" s="101"/>
      <c r="Q417" s="101"/>
    </row>
    <row r="418" spans="1:17" s="102" customFormat="1">
      <c r="A418" s="101"/>
      <c r="B418" s="101"/>
      <c r="C418" s="101"/>
      <c r="Q418" s="101"/>
    </row>
    <row r="419" spans="1:17" s="102" customFormat="1">
      <c r="A419" s="101"/>
      <c r="B419" s="101"/>
      <c r="C419" s="101"/>
      <c r="Q419" s="101"/>
    </row>
    <row r="420" spans="1:17" s="102" customFormat="1">
      <c r="A420" s="101"/>
      <c r="B420" s="101"/>
      <c r="C420" s="101"/>
      <c r="Q420" s="101"/>
    </row>
    <row r="421" spans="1:17" s="102" customFormat="1">
      <c r="A421" s="101"/>
      <c r="B421" s="101"/>
      <c r="C421" s="101"/>
      <c r="Q421" s="101"/>
    </row>
    <row r="422" spans="1:17" s="102" customFormat="1">
      <c r="A422" s="101"/>
      <c r="B422" s="101"/>
      <c r="C422" s="101"/>
      <c r="Q422" s="101"/>
    </row>
    <row r="423" spans="1:17" s="102" customFormat="1">
      <c r="A423" s="101"/>
      <c r="B423" s="101"/>
      <c r="C423" s="101"/>
      <c r="Q423" s="101"/>
    </row>
    <row r="424" spans="1:17" s="102" customFormat="1">
      <c r="A424" s="101"/>
      <c r="B424" s="101"/>
      <c r="C424" s="101"/>
      <c r="Q424" s="101"/>
    </row>
    <row r="425" spans="1:17" s="102" customFormat="1">
      <c r="A425" s="101"/>
      <c r="B425" s="101"/>
      <c r="C425" s="101"/>
      <c r="Q425" s="101"/>
    </row>
    <row r="426" spans="1:17" s="102" customFormat="1">
      <c r="A426" s="101"/>
      <c r="B426" s="101"/>
      <c r="C426" s="101"/>
      <c r="Q426" s="101"/>
    </row>
    <row r="427" spans="1:17" s="102" customFormat="1">
      <c r="A427" s="101"/>
      <c r="B427" s="101"/>
      <c r="C427" s="101"/>
      <c r="Q427" s="101"/>
    </row>
    <row r="428" spans="1:17" s="102" customFormat="1">
      <c r="A428" s="101"/>
      <c r="B428" s="101"/>
      <c r="C428" s="101"/>
      <c r="Q428" s="101"/>
    </row>
    <row r="429" spans="1:17" s="102" customFormat="1">
      <c r="A429" s="101"/>
      <c r="B429" s="101"/>
      <c r="C429" s="101"/>
      <c r="Q429" s="101"/>
    </row>
    <row r="430" spans="1:17" s="102" customFormat="1">
      <c r="A430" s="101"/>
      <c r="B430" s="101"/>
      <c r="C430" s="101"/>
      <c r="Q430" s="101"/>
    </row>
    <row r="431" spans="1:17" s="102" customFormat="1">
      <c r="A431" s="101"/>
      <c r="B431" s="101"/>
      <c r="C431" s="101"/>
      <c r="Q431" s="101"/>
    </row>
    <row r="432" spans="1:17" s="102" customFormat="1">
      <c r="A432" s="101"/>
      <c r="B432" s="101"/>
      <c r="C432" s="101"/>
      <c r="Q432" s="101"/>
    </row>
    <row r="433" spans="1:17" s="102" customFormat="1">
      <c r="A433" s="101"/>
      <c r="B433" s="101"/>
      <c r="C433" s="101"/>
      <c r="Q433" s="101"/>
    </row>
    <row r="434" spans="1:17" s="102" customFormat="1">
      <c r="A434" s="101"/>
      <c r="B434" s="101"/>
      <c r="C434" s="101"/>
      <c r="Q434" s="101"/>
    </row>
    <row r="435" spans="1:17" s="102" customFormat="1">
      <c r="A435" s="101"/>
      <c r="B435" s="101"/>
      <c r="C435" s="101"/>
      <c r="Q435" s="101"/>
    </row>
    <row r="436" spans="1:17" s="102" customFormat="1">
      <c r="A436" s="101"/>
      <c r="B436" s="101"/>
      <c r="C436" s="101"/>
      <c r="Q436" s="101"/>
    </row>
    <row r="437" spans="1:17" s="102" customFormat="1">
      <c r="A437" s="101"/>
      <c r="B437" s="101"/>
      <c r="C437" s="101"/>
      <c r="Q437" s="101"/>
    </row>
    <row r="438" spans="1:17" s="102" customFormat="1">
      <c r="A438" s="101"/>
      <c r="B438" s="101"/>
      <c r="C438" s="101"/>
      <c r="Q438" s="101"/>
    </row>
    <row r="439" spans="1:17" s="102" customFormat="1">
      <c r="A439" s="101"/>
      <c r="B439" s="101"/>
      <c r="C439" s="101"/>
      <c r="Q439" s="101"/>
    </row>
    <row r="440" spans="1:17" s="102" customFormat="1">
      <c r="A440" s="101"/>
      <c r="B440" s="101"/>
      <c r="C440" s="101"/>
      <c r="Q440" s="101"/>
    </row>
    <row r="441" spans="1:17" s="102" customFormat="1">
      <c r="A441" s="101"/>
      <c r="B441" s="101"/>
      <c r="C441" s="101"/>
      <c r="Q441" s="101"/>
    </row>
    <row r="442" spans="1:17" s="102" customFormat="1">
      <c r="A442" s="101"/>
      <c r="B442" s="101"/>
      <c r="C442" s="101"/>
      <c r="Q442" s="101"/>
    </row>
    <row r="443" spans="1:17" s="102" customFormat="1">
      <c r="A443" s="101"/>
      <c r="B443" s="101"/>
      <c r="C443" s="101"/>
      <c r="Q443" s="101"/>
    </row>
    <row r="444" spans="1:17" s="102" customFormat="1">
      <c r="A444" s="101"/>
      <c r="B444" s="101"/>
      <c r="C444" s="101"/>
      <c r="Q444" s="101"/>
    </row>
    <row r="445" spans="1:17" s="102" customFormat="1">
      <c r="A445" s="101"/>
      <c r="B445" s="101"/>
      <c r="C445" s="101"/>
      <c r="Q445" s="101"/>
    </row>
    <row r="446" spans="1:17" s="102" customFormat="1">
      <c r="A446" s="101"/>
      <c r="B446" s="101"/>
      <c r="C446" s="101"/>
      <c r="Q446" s="101"/>
    </row>
    <row r="447" spans="1:17" s="102" customFormat="1">
      <c r="A447" s="101"/>
      <c r="B447" s="101"/>
      <c r="C447" s="101"/>
      <c r="Q447" s="101"/>
    </row>
    <row r="448" spans="1:17" s="102" customFormat="1">
      <c r="A448" s="101"/>
      <c r="B448" s="101"/>
      <c r="C448" s="101"/>
      <c r="Q448" s="101"/>
    </row>
    <row r="449" spans="1:17" s="102" customFormat="1">
      <c r="A449" s="101"/>
      <c r="B449" s="101"/>
      <c r="C449" s="101"/>
      <c r="Q449" s="101"/>
    </row>
    <row r="450" spans="1:17" s="102" customFormat="1">
      <c r="A450" s="101"/>
      <c r="B450" s="101"/>
      <c r="C450" s="101"/>
      <c r="Q450" s="101"/>
    </row>
    <row r="451" spans="1:17" s="102" customFormat="1">
      <c r="A451" s="101"/>
      <c r="B451" s="101"/>
      <c r="C451" s="101"/>
      <c r="Q451" s="101"/>
    </row>
    <row r="452" spans="1:17" s="102" customFormat="1">
      <c r="A452" s="101"/>
      <c r="B452" s="101"/>
      <c r="C452" s="101"/>
      <c r="Q452" s="101"/>
    </row>
    <row r="453" spans="1:17" s="102" customFormat="1">
      <c r="A453" s="101"/>
      <c r="B453" s="101"/>
      <c r="C453" s="101"/>
      <c r="Q453" s="101"/>
    </row>
    <row r="454" spans="1:17" s="102" customFormat="1">
      <c r="A454" s="101"/>
      <c r="B454" s="101"/>
      <c r="C454" s="101"/>
      <c r="Q454" s="101"/>
    </row>
    <row r="455" spans="1:17" s="102" customFormat="1">
      <c r="A455" s="101"/>
      <c r="B455" s="101"/>
      <c r="C455" s="101"/>
      <c r="Q455" s="101"/>
    </row>
    <row r="456" spans="1:17" s="102" customFormat="1">
      <c r="A456" s="101"/>
      <c r="B456" s="101"/>
      <c r="C456" s="101"/>
      <c r="Q456" s="101"/>
    </row>
    <row r="457" spans="1:17" s="102" customFormat="1">
      <c r="A457" s="101"/>
      <c r="B457" s="101"/>
      <c r="C457" s="101"/>
      <c r="Q457" s="101"/>
    </row>
    <row r="458" spans="1:17" s="102" customFormat="1">
      <c r="A458" s="101"/>
      <c r="B458" s="101"/>
      <c r="C458" s="101"/>
      <c r="Q458" s="101"/>
    </row>
    <row r="459" spans="1:17" s="102" customFormat="1">
      <c r="A459" s="101"/>
      <c r="B459" s="101"/>
      <c r="C459" s="101"/>
      <c r="Q459" s="101"/>
    </row>
    <row r="460" spans="1:17" s="102" customFormat="1">
      <c r="A460" s="101"/>
      <c r="B460" s="101"/>
      <c r="C460" s="101"/>
      <c r="Q460" s="101"/>
    </row>
    <row r="461" spans="1:17" s="102" customFormat="1">
      <c r="A461" s="101"/>
      <c r="B461" s="101"/>
      <c r="C461" s="101"/>
      <c r="Q461" s="101"/>
    </row>
    <row r="462" spans="1:17" s="102" customFormat="1">
      <c r="A462" s="101"/>
      <c r="B462" s="101"/>
      <c r="C462" s="101"/>
      <c r="Q462" s="101"/>
    </row>
    <row r="463" spans="1:17" s="102" customFormat="1">
      <c r="A463" s="101"/>
      <c r="B463" s="101"/>
      <c r="C463" s="101"/>
      <c r="Q463" s="101"/>
    </row>
    <row r="464" spans="1:17" s="102" customFormat="1">
      <c r="A464" s="101"/>
      <c r="B464" s="101"/>
      <c r="C464" s="101"/>
      <c r="Q464" s="101"/>
    </row>
    <row r="465" spans="1:17" s="102" customFormat="1">
      <c r="A465" s="101"/>
      <c r="B465" s="101"/>
      <c r="C465" s="101"/>
      <c r="Q465" s="101"/>
    </row>
    <row r="466" spans="1:17" s="102" customFormat="1">
      <c r="A466" s="101"/>
      <c r="B466" s="101"/>
      <c r="C466" s="101"/>
      <c r="Q466" s="101"/>
    </row>
    <row r="467" spans="1:17" s="102" customFormat="1">
      <c r="A467" s="101"/>
      <c r="B467" s="101"/>
      <c r="C467" s="101"/>
      <c r="Q467" s="101"/>
    </row>
    <row r="468" spans="1:17" s="102" customFormat="1">
      <c r="A468" s="101"/>
      <c r="B468" s="101"/>
      <c r="C468" s="101"/>
      <c r="Q468" s="101"/>
    </row>
    <row r="469" spans="1:17" s="102" customFormat="1">
      <c r="A469" s="101"/>
      <c r="B469" s="101"/>
      <c r="C469" s="101"/>
      <c r="Q469" s="101"/>
    </row>
    <row r="470" spans="1:17" s="102" customFormat="1">
      <c r="A470" s="101"/>
      <c r="B470" s="101"/>
      <c r="C470" s="101"/>
      <c r="Q470" s="101"/>
    </row>
    <row r="471" spans="1:17" s="102" customFormat="1">
      <c r="A471" s="101"/>
      <c r="B471" s="101"/>
      <c r="C471" s="101"/>
      <c r="Q471" s="101"/>
    </row>
    <row r="472" spans="1:17" s="102" customFormat="1">
      <c r="A472" s="101"/>
      <c r="B472" s="101"/>
      <c r="C472" s="101"/>
      <c r="Q472" s="101"/>
    </row>
    <row r="473" spans="1:17" s="102" customFormat="1">
      <c r="A473" s="101"/>
      <c r="B473" s="101"/>
      <c r="C473" s="101"/>
      <c r="Q473" s="101"/>
    </row>
    <row r="474" spans="1:17" s="102" customFormat="1">
      <c r="A474" s="101"/>
      <c r="B474" s="101"/>
      <c r="C474" s="101"/>
      <c r="Q474" s="101"/>
    </row>
    <row r="475" spans="1:17" s="102" customFormat="1">
      <c r="A475" s="101"/>
      <c r="B475" s="101"/>
      <c r="C475" s="101"/>
      <c r="Q475" s="101"/>
    </row>
    <row r="476" spans="1:17" s="102" customFormat="1">
      <c r="A476" s="101"/>
      <c r="B476" s="101"/>
      <c r="C476" s="101"/>
      <c r="Q476" s="101"/>
    </row>
    <row r="477" spans="1:17" s="102" customFormat="1">
      <c r="A477" s="101"/>
      <c r="B477" s="101"/>
      <c r="C477" s="101"/>
      <c r="Q477" s="101"/>
    </row>
    <row r="478" spans="1:17" s="102" customFormat="1">
      <c r="A478" s="101"/>
      <c r="B478" s="101"/>
      <c r="C478" s="101"/>
      <c r="Q478" s="101"/>
    </row>
    <row r="479" spans="1:17" s="102" customFormat="1">
      <c r="A479" s="101"/>
      <c r="B479" s="101"/>
      <c r="C479" s="101"/>
      <c r="Q479" s="101"/>
    </row>
    <row r="480" spans="1:17" s="102" customFormat="1">
      <c r="A480" s="101"/>
      <c r="B480" s="101"/>
      <c r="C480" s="101"/>
      <c r="Q480" s="101"/>
    </row>
    <row r="481" spans="1:17" s="102" customFormat="1">
      <c r="A481" s="101"/>
      <c r="B481" s="101"/>
      <c r="C481" s="101"/>
      <c r="Q481" s="101"/>
    </row>
    <row r="482" spans="1:17" s="102" customFormat="1">
      <c r="A482" s="101"/>
      <c r="B482" s="101"/>
      <c r="C482" s="101"/>
      <c r="Q482" s="101"/>
    </row>
    <row r="483" spans="1:17" s="102" customFormat="1">
      <c r="A483" s="101"/>
      <c r="B483" s="101"/>
      <c r="C483" s="101"/>
      <c r="Q483" s="101"/>
    </row>
    <row r="484" spans="1:17" s="102" customFormat="1">
      <c r="A484" s="101"/>
      <c r="B484" s="101"/>
      <c r="C484" s="101"/>
      <c r="Q484" s="101"/>
    </row>
    <row r="485" spans="1:17" s="102" customFormat="1">
      <c r="A485" s="101"/>
      <c r="B485" s="101"/>
      <c r="C485" s="101"/>
      <c r="Q485" s="101"/>
    </row>
    <row r="486" spans="1:17" s="102" customFormat="1">
      <c r="A486" s="101"/>
      <c r="B486" s="101"/>
      <c r="C486" s="101"/>
      <c r="Q486" s="101"/>
    </row>
    <row r="487" spans="1:17" s="102" customFormat="1">
      <c r="A487" s="101"/>
      <c r="B487" s="101"/>
      <c r="C487" s="101"/>
      <c r="Q487" s="101"/>
    </row>
    <row r="488" spans="1:17" s="102" customFormat="1">
      <c r="A488" s="101"/>
      <c r="B488" s="101"/>
      <c r="C488" s="101"/>
      <c r="Q488" s="101"/>
    </row>
    <row r="489" spans="1:17" s="102" customFormat="1">
      <c r="A489" s="101"/>
      <c r="B489" s="101"/>
      <c r="C489" s="101"/>
      <c r="Q489" s="101"/>
    </row>
    <row r="490" spans="1:17" s="102" customFormat="1">
      <c r="A490" s="101"/>
      <c r="B490" s="101"/>
      <c r="C490" s="101"/>
      <c r="Q490" s="101"/>
    </row>
    <row r="491" spans="1:17" s="102" customFormat="1">
      <c r="A491" s="101"/>
      <c r="B491" s="101"/>
      <c r="C491" s="101"/>
      <c r="Q491" s="101"/>
    </row>
    <row r="492" spans="1:17" s="102" customFormat="1">
      <c r="A492" s="101"/>
      <c r="B492" s="101"/>
      <c r="C492" s="101"/>
      <c r="Q492" s="101"/>
    </row>
    <row r="493" spans="1:17" s="102" customFormat="1">
      <c r="A493" s="101"/>
      <c r="B493" s="101"/>
      <c r="C493" s="101"/>
      <c r="Q493" s="101"/>
    </row>
    <row r="494" spans="1:17" s="102" customFormat="1">
      <c r="A494" s="101"/>
      <c r="B494" s="101"/>
      <c r="C494" s="101"/>
      <c r="Q494" s="101"/>
    </row>
    <row r="495" spans="1:17" s="102" customFormat="1">
      <c r="A495" s="101"/>
      <c r="B495" s="101"/>
      <c r="C495" s="101"/>
      <c r="Q495" s="101"/>
    </row>
    <row r="496" spans="1:17" s="102" customFormat="1">
      <c r="A496" s="101"/>
      <c r="B496" s="101"/>
      <c r="C496" s="101"/>
      <c r="Q496" s="101"/>
    </row>
    <row r="497" spans="1:17" s="102" customFormat="1">
      <c r="A497" s="101"/>
      <c r="B497" s="101"/>
      <c r="C497" s="101"/>
      <c r="Q497" s="101"/>
    </row>
    <row r="498" spans="1:17" s="102" customFormat="1">
      <c r="A498" s="101"/>
      <c r="B498" s="101"/>
      <c r="C498" s="101"/>
      <c r="Q498" s="101"/>
    </row>
    <row r="499" spans="1:17" s="102" customFormat="1">
      <c r="A499" s="101"/>
      <c r="B499" s="101"/>
      <c r="C499" s="101"/>
      <c r="Q499" s="101"/>
    </row>
    <row r="500" spans="1:17" s="102" customFormat="1">
      <c r="A500" s="101"/>
      <c r="B500" s="101"/>
      <c r="C500" s="101"/>
      <c r="Q500" s="101"/>
    </row>
    <row r="501" spans="1:17" s="102" customFormat="1">
      <c r="A501" s="101"/>
      <c r="B501" s="101"/>
      <c r="C501" s="101"/>
      <c r="Q501" s="101"/>
    </row>
    <row r="502" spans="1:17" s="102" customFormat="1">
      <c r="A502" s="101"/>
      <c r="B502" s="101"/>
      <c r="C502" s="101"/>
      <c r="Q502" s="101"/>
    </row>
    <row r="503" spans="1:17" s="102" customFormat="1">
      <c r="A503" s="101"/>
      <c r="B503" s="101"/>
      <c r="C503" s="101"/>
      <c r="Q503" s="101"/>
    </row>
    <row r="504" spans="1:17" s="102" customFormat="1">
      <c r="A504" s="101"/>
      <c r="B504" s="101"/>
      <c r="C504" s="101"/>
      <c r="Q504" s="101"/>
    </row>
    <row r="505" spans="1:17" s="102" customFormat="1">
      <c r="A505" s="101"/>
      <c r="B505" s="101"/>
      <c r="C505" s="101"/>
      <c r="Q505" s="101"/>
    </row>
    <row r="506" spans="1:17" s="102" customFormat="1">
      <c r="A506" s="101"/>
      <c r="B506" s="101"/>
      <c r="C506" s="101"/>
      <c r="Q506" s="101"/>
    </row>
    <row r="507" spans="1:17" s="102" customFormat="1">
      <c r="A507" s="101"/>
      <c r="B507" s="101"/>
      <c r="C507" s="101"/>
      <c r="Q507" s="101"/>
    </row>
    <row r="508" spans="1:17" s="102" customFormat="1">
      <c r="A508" s="101"/>
      <c r="B508" s="101"/>
      <c r="C508" s="101"/>
      <c r="Q508" s="101"/>
    </row>
    <row r="509" spans="1:17" s="102" customFormat="1">
      <c r="A509" s="101"/>
      <c r="B509" s="101"/>
      <c r="C509" s="101"/>
      <c r="Q509" s="101"/>
    </row>
    <row r="510" spans="1:17" s="102" customFormat="1">
      <c r="A510" s="101"/>
      <c r="B510" s="101"/>
      <c r="C510" s="101"/>
      <c r="Q510" s="101"/>
    </row>
    <row r="511" spans="1:17" s="102" customFormat="1">
      <c r="A511" s="101"/>
      <c r="B511" s="101"/>
      <c r="C511" s="101"/>
      <c r="Q511" s="101"/>
    </row>
    <row r="512" spans="1:17" s="102" customFormat="1">
      <c r="A512" s="101"/>
      <c r="B512" s="101"/>
      <c r="C512" s="101"/>
      <c r="Q512" s="101"/>
    </row>
    <row r="513" spans="1:17" s="102" customFormat="1">
      <c r="A513" s="101"/>
      <c r="B513" s="101"/>
      <c r="C513" s="101"/>
      <c r="Q513" s="101"/>
    </row>
    <row r="514" spans="1:17" s="102" customFormat="1">
      <c r="A514" s="101"/>
      <c r="B514" s="101"/>
      <c r="C514" s="101"/>
      <c r="Q514" s="101"/>
    </row>
    <row r="515" spans="1:17" s="102" customFormat="1">
      <c r="A515" s="101"/>
      <c r="B515" s="101"/>
      <c r="C515" s="101"/>
      <c r="Q515" s="101"/>
    </row>
    <row r="516" spans="1:17" s="102" customFormat="1">
      <c r="A516" s="101"/>
      <c r="B516" s="101"/>
      <c r="C516" s="101"/>
      <c r="Q516" s="101"/>
    </row>
    <row r="517" spans="1:17" s="102" customFormat="1">
      <c r="A517" s="101"/>
      <c r="B517" s="101"/>
      <c r="C517" s="101"/>
      <c r="Q517" s="101"/>
    </row>
    <row r="518" spans="1:17" s="102" customFormat="1">
      <c r="A518" s="101"/>
      <c r="B518" s="101"/>
      <c r="C518" s="101"/>
      <c r="Q518" s="101"/>
    </row>
    <row r="519" spans="1:17" s="102" customFormat="1">
      <c r="A519" s="101"/>
      <c r="B519" s="101"/>
      <c r="C519" s="101"/>
      <c r="Q519" s="101"/>
    </row>
    <row r="520" spans="1:17" s="102" customFormat="1">
      <c r="A520" s="101"/>
      <c r="B520" s="101"/>
      <c r="C520" s="101"/>
      <c r="Q520" s="101"/>
    </row>
    <row r="521" spans="1:17" s="102" customFormat="1">
      <c r="A521" s="101"/>
      <c r="B521" s="101"/>
      <c r="C521" s="101"/>
      <c r="Q521" s="101"/>
    </row>
    <row r="522" spans="1:17" s="102" customFormat="1">
      <c r="A522" s="101"/>
      <c r="B522" s="101"/>
      <c r="C522" s="101"/>
      <c r="Q522" s="101"/>
    </row>
    <row r="523" spans="1:17" s="102" customFormat="1">
      <c r="A523" s="101"/>
      <c r="B523" s="101"/>
      <c r="C523" s="101"/>
      <c r="Q523" s="101"/>
    </row>
    <row r="524" spans="1:17" s="102" customFormat="1">
      <c r="A524" s="101"/>
      <c r="B524" s="101"/>
      <c r="C524" s="101"/>
      <c r="Q524" s="101"/>
    </row>
    <row r="525" spans="1:17" s="102" customFormat="1">
      <c r="A525" s="101"/>
      <c r="B525" s="101"/>
      <c r="C525" s="101"/>
      <c r="Q525" s="101"/>
    </row>
    <row r="526" spans="1:17" s="102" customFormat="1">
      <c r="A526" s="101"/>
      <c r="B526" s="101"/>
      <c r="C526" s="101"/>
      <c r="Q526" s="101"/>
    </row>
    <row r="527" spans="1:17" s="102" customFormat="1">
      <c r="A527" s="101"/>
      <c r="B527" s="101"/>
      <c r="C527" s="101"/>
      <c r="Q527" s="101"/>
    </row>
    <row r="528" spans="1:17" s="102" customFormat="1">
      <c r="A528" s="101"/>
      <c r="B528" s="101"/>
      <c r="C528" s="101"/>
      <c r="Q528" s="101"/>
    </row>
    <row r="529" spans="1:17" s="102" customFormat="1">
      <c r="A529" s="101"/>
      <c r="B529" s="101"/>
      <c r="C529" s="101"/>
      <c r="Q529" s="101"/>
    </row>
    <row r="530" spans="1:17" s="102" customFormat="1">
      <c r="A530" s="101"/>
      <c r="B530" s="101"/>
      <c r="C530" s="101"/>
      <c r="Q530" s="101"/>
    </row>
    <row r="531" spans="1:17" s="102" customFormat="1">
      <c r="A531" s="101"/>
      <c r="B531" s="101"/>
      <c r="C531" s="101"/>
      <c r="Q531" s="101"/>
    </row>
    <row r="532" spans="1:17" s="102" customFormat="1">
      <c r="A532" s="101"/>
      <c r="B532" s="101"/>
      <c r="C532" s="101"/>
      <c r="Q532" s="101"/>
    </row>
    <row r="533" spans="1:17" s="102" customFormat="1">
      <c r="A533" s="101"/>
      <c r="B533" s="101"/>
      <c r="C533" s="101"/>
      <c r="Q533" s="101"/>
    </row>
    <row r="534" spans="1:17" s="102" customFormat="1">
      <c r="A534" s="101"/>
      <c r="B534" s="101"/>
      <c r="C534" s="101"/>
      <c r="Q534" s="101"/>
    </row>
    <row r="535" spans="1:17" s="102" customFormat="1">
      <c r="A535" s="101"/>
      <c r="B535" s="101"/>
      <c r="C535" s="101"/>
      <c r="Q535" s="101"/>
    </row>
    <row r="536" spans="1:17" s="102" customFormat="1">
      <c r="A536" s="101"/>
      <c r="B536" s="101"/>
      <c r="C536" s="101"/>
      <c r="Q536" s="101"/>
    </row>
    <row r="537" spans="1:17" s="102" customFormat="1">
      <c r="A537" s="101"/>
      <c r="B537" s="101"/>
      <c r="C537" s="101"/>
      <c r="Q537" s="101"/>
    </row>
    <row r="538" spans="1:17" s="102" customFormat="1">
      <c r="A538" s="101"/>
      <c r="B538" s="101"/>
      <c r="C538" s="101"/>
      <c r="Q538" s="101"/>
    </row>
    <row r="539" spans="1:17" s="102" customFormat="1">
      <c r="A539" s="101"/>
      <c r="B539" s="101"/>
      <c r="C539" s="101"/>
      <c r="Q539" s="101"/>
    </row>
    <row r="540" spans="1:17" s="102" customFormat="1">
      <c r="A540" s="101"/>
      <c r="B540" s="101"/>
      <c r="C540" s="101"/>
      <c r="Q540" s="101"/>
    </row>
    <row r="541" spans="1:17" s="102" customFormat="1">
      <c r="A541" s="101"/>
      <c r="B541" s="101"/>
      <c r="C541" s="101"/>
      <c r="Q541" s="101"/>
    </row>
    <row r="542" spans="1:17" s="102" customFormat="1">
      <c r="A542" s="101"/>
      <c r="B542" s="101"/>
      <c r="C542" s="101"/>
      <c r="Q542" s="101"/>
    </row>
    <row r="543" spans="1:17" s="102" customFormat="1">
      <c r="A543" s="101"/>
      <c r="B543" s="101"/>
      <c r="C543" s="101"/>
      <c r="Q543" s="101"/>
    </row>
    <row r="544" spans="1:17" s="102" customFormat="1">
      <c r="A544" s="101"/>
      <c r="B544" s="101"/>
      <c r="C544" s="101"/>
      <c r="Q544" s="101"/>
    </row>
    <row r="545" spans="1:17" s="102" customFormat="1">
      <c r="A545" s="101"/>
      <c r="B545" s="101"/>
      <c r="C545" s="101"/>
      <c r="Q545" s="101"/>
    </row>
    <row r="546" spans="1:17" s="102" customFormat="1">
      <c r="A546" s="101"/>
      <c r="B546" s="101"/>
      <c r="C546" s="101"/>
      <c r="Q546" s="101"/>
    </row>
    <row r="547" spans="1:17" s="102" customFormat="1">
      <c r="A547" s="101"/>
      <c r="B547" s="101"/>
      <c r="C547" s="101"/>
      <c r="Q547" s="101"/>
    </row>
    <row r="548" spans="1:17" s="102" customFormat="1">
      <c r="A548" s="101"/>
      <c r="B548" s="101"/>
      <c r="C548" s="101"/>
      <c r="Q548" s="101"/>
    </row>
    <row r="549" spans="1:17" s="102" customFormat="1">
      <c r="A549" s="101"/>
      <c r="B549" s="101"/>
      <c r="C549" s="101"/>
      <c r="Q549" s="101"/>
    </row>
    <row r="550" spans="1:17" s="102" customFormat="1">
      <c r="A550" s="101"/>
      <c r="B550" s="101"/>
      <c r="C550" s="101"/>
      <c r="Q550" s="101"/>
    </row>
    <row r="551" spans="1:17" s="102" customFormat="1">
      <c r="A551" s="101"/>
      <c r="B551" s="101"/>
      <c r="C551" s="101"/>
      <c r="Q551" s="101"/>
    </row>
    <row r="552" spans="1:17" s="102" customFormat="1">
      <c r="A552" s="101"/>
      <c r="B552" s="101"/>
      <c r="C552" s="101"/>
      <c r="Q552" s="101"/>
    </row>
    <row r="553" spans="1:17" s="102" customFormat="1">
      <c r="A553" s="101"/>
      <c r="B553" s="101"/>
      <c r="C553" s="101"/>
      <c r="Q553" s="101"/>
    </row>
    <row r="554" spans="1:17" s="102" customFormat="1">
      <c r="A554" s="101"/>
      <c r="B554" s="101"/>
      <c r="C554" s="101"/>
      <c r="Q554" s="101"/>
    </row>
    <row r="555" spans="1:17" s="102" customFormat="1">
      <c r="A555" s="101"/>
      <c r="B555" s="101"/>
      <c r="C555" s="101"/>
      <c r="Q555" s="101"/>
    </row>
    <row r="556" spans="1:17" s="102" customFormat="1">
      <c r="A556" s="101"/>
      <c r="B556" s="101"/>
      <c r="C556" s="101"/>
      <c r="Q556" s="101"/>
    </row>
    <row r="557" spans="1:17" s="102" customFormat="1">
      <c r="A557" s="101"/>
      <c r="B557" s="101"/>
      <c r="C557" s="101"/>
      <c r="Q557" s="101"/>
    </row>
    <row r="558" spans="1:17" s="102" customFormat="1">
      <c r="A558" s="101"/>
      <c r="B558" s="101"/>
      <c r="C558" s="101"/>
      <c r="Q558" s="101"/>
    </row>
    <row r="559" spans="1:17" s="102" customFormat="1">
      <c r="A559" s="101"/>
      <c r="B559" s="101"/>
      <c r="C559" s="101"/>
      <c r="Q559" s="101"/>
    </row>
    <row r="560" spans="1:17" s="102" customFormat="1">
      <c r="A560" s="101"/>
      <c r="B560" s="101"/>
      <c r="C560" s="101"/>
      <c r="Q560" s="101"/>
    </row>
    <row r="561" spans="1:17" s="102" customFormat="1">
      <c r="A561" s="101"/>
      <c r="B561" s="101"/>
      <c r="C561" s="101"/>
      <c r="Q561" s="101"/>
    </row>
    <row r="562" spans="1:17" s="102" customFormat="1">
      <c r="A562" s="101"/>
      <c r="B562" s="101"/>
      <c r="C562" s="101"/>
      <c r="Q562" s="101"/>
    </row>
    <row r="563" spans="1:17" s="102" customFormat="1">
      <c r="A563" s="101"/>
      <c r="B563" s="101"/>
      <c r="C563" s="101"/>
      <c r="Q563" s="101"/>
    </row>
    <row r="564" spans="1:17" s="102" customFormat="1">
      <c r="A564" s="101"/>
      <c r="B564" s="101"/>
      <c r="C564" s="101"/>
      <c r="Q564" s="101"/>
    </row>
    <row r="565" spans="1:17" s="102" customFormat="1">
      <c r="A565" s="101"/>
      <c r="B565" s="101"/>
      <c r="C565" s="101"/>
      <c r="Q565" s="101"/>
    </row>
    <row r="566" spans="1:17" s="102" customFormat="1">
      <c r="A566" s="101"/>
      <c r="B566" s="101"/>
      <c r="C566" s="101"/>
      <c r="Q566" s="101"/>
    </row>
    <row r="567" spans="1:17" s="102" customFormat="1">
      <c r="A567" s="101"/>
      <c r="B567" s="101"/>
      <c r="C567" s="101"/>
      <c r="Q567" s="101"/>
    </row>
    <row r="568" spans="1:17" s="102" customFormat="1">
      <c r="A568" s="101"/>
      <c r="B568" s="101"/>
      <c r="C568" s="101"/>
      <c r="Q568" s="101"/>
    </row>
    <row r="569" spans="1:17" s="102" customFormat="1">
      <c r="A569" s="101"/>
      <c r="B569" s="101"/>
      <c r="C569" s="101"/>
      <c r="Q569" s="101"/>
    </row>
    <row r="570" spans="1:17" s="102" customFormat="1">
      <c r="A570" s="101"/>
      <c r="B570" s="101"/>
      <c r="C570" s="101"/>
      <c r="Q570" s="101"/>
    </row>
    <row r="571" spans="1:17" s="102" customFormat="1">
      <c r="A571" s="101"/>
      <c r="B571" s="101"/>
      <c r="C571" s="101"/>
      <c r="Q571" s="101"/>
    </row>
    <row r="572" spans="1:17" s="102" customFormat="1">
      <c r="A572" s="101"/>
      <c r="B572" s="101"/>
      <c r="C572" s="101"/>
      <c r="Q572" s="101"/>
    </row>
    <row r="573" spans="1:17" s="102" customFormat="1">
      <c r="A573" s="101"/>
      <c r="B573" s="101"/>
      <c r="C573" s="101"/>
      <c r="Q573" s="101"/>
    </row>
    <row r="574" spans="1:17" s="102" customFormat="1">
      <c r="A574" s="101"/>
      <c r="B574" s="101"/>
      <c r="C574" s="101"/>
      <c r="Q574" s="101"/>
    </row>
    <row r="575" spans="1:17" s="102" customFormat="1">
      <c r="A575" s="101"/>
      <c r="B575" s="101"/>
      <c r="C575" s="101"/>
      <c r="Q575" s="101"/>
    </row>
    <row r="576" spans="1:17" s="102" customFormat="1">
      <c r="A576" s="101"/>
      <c r="B576" s="101"/>
      <c r="C576" s="101"/>
      <c r="Q576" s="101"/>
    </row>
    <row r="577" spans="1:17" s="102" customFormat="1">
      <c r="A577" s="101"/>
      <c r="B577" s="101"/>
      <c r="C577" s="101"/>
      <c r="Q577" s="101"/>
    </row>
    <row r="578" spans="1:17" s="102" customFormat="1">
      <c r="A578" s="101"/>
      <c r="B578" s="101"/>
      <c r="C578" s="101"/>
      <c r="Q578" s="101"/>
    </row>
    <row r="579" spans="1:17" s="102" customFormat="1">
      <c r="A579" s="101"/>
      <c r="B579" s="101"/>
      <c r="C579" s="101"/>
      <c r="Q579" s="101"/>
    </row>
    <row r="580" spans="1:17" s="102" customFormat="1">
      <c r="A580" s="101"/>
      <c r="B580" s="101"/>
      <c r="C580" s="101"/>
      <c r="Q580" s="101"/>
    </row>
    <row r="581" spans="1:17" s="102" customFormat="1">
      <c r="A581" s="101"/>
      <c r="B581" s="101"/>
      <c r="C581" s="101"/>
      <c r="Q581" s="101"/>
    </row>
    <row r="582" spans="1:17" s="102" customFormat="1">
      <c r="A582" s="101"/>
      <c r="B582" s="101"/>
      <c r="C582" s="101"/>
      <c r="Q582" s="101"/>
    </row>
    <row r="583" spans="1:17" s="102" customFormat="1">
      <c r="A583" s="101"/>
      <c r="B583" s="101"/>
      <c r="C583" s="101"/>
      <c r="Q583" s="101"/>
    </row>
    <row r="584" spans="1:17" s="102" customFormat="1">
      <c r="A584" s="101"/>
      <c r="B584" s="101"/>
      <c r="C584" s="101"/>
      <c r="Q584" s="101"/>
    </row>
    <row r="585" spans="1:17" s="102" customFormat="1">
      <c r="A585" s="101"/>
      <c r="B585" s="101"/>
      <c r="C585" s="101"/>
      <c r="Q585" s="101"/>
    </row>
    <row r="586" spans="1:17" s="102" customFormat="1">
      <c r="A586" s="101"/>
      <c r="B586" s="101"/>
      <c r="C586" s="101"/>
      <c r="Q586" s="101"/>
    </row>
    <row r="587" spans="1:17" s="102" customFormat="1">
      <c r="A587" s="101"/>
      <c r="B587" s="101"/>
      <c r="C587" s="101"/>
      <c r="Q587" s="101"/>
    </row>
    <row r="588" spans="1:17" s="102" customFormat="1">
      <c r="A588" s="101"/>
      <c r="B588" s="101"/>
      <c r="C588" s="101"/>
      <c r="Q588" s="101"/>
    </row>
    <row r="589" spans="1:17" s="102" customFormat="1">
      <c r="A589" s="101"/>
      <c r="B589" s="101"/>
      <c r="C589" s="101"/>
      <c r="Q589" s="101"/>
    </row>
    <row r="590" spans="1:17" s="102" customFormat="1">
      <c r="A590" s="101"/>
      <c r="B590" s="101"/>
      <c r="C590" s="101"/>
      <c r="Q590" s="101"/>
    </row>
    <row r="591" spans="1:17" s="102" customFormat="1">
      <c r="A591" s="101"/>
      <c r="B591" s="101"/>
      <c r="C591" s="101"/>
      <c r="Q591" s="101"/>
    </row>
    <row r="592" spans="1:17" s="102" customFormat="1">
      <c r="A592" s="101"/>
      <c r="B592" s="101"/>
      <c r="C592" s="101"/>
      <c r="Q592" s="101"/>
    </row>
    <row r="593" spans="1:17" s="102" customFormat="1">
      <c r="A593" s="101"/>
      <c r="B593" s="101"/>
      <c r="C593" s="101"/>
      <c r="Q593" s="101"/>
    </row>
    <row r="594" spans="1:17" s="102" customFormat="1">
      <c r="A594" s="101"/>
      <c r="B594" s="101"/>
      <c r="C594" s="101"/>
      <c r="Q594" s="101"/>
    </row>
    <row r="595" spans="1:17" s="102" customFormat="1">
      <c r="A595" s="101"/>
      <c r="B595" s="101"/>
      <c r="C595" s="101"/>
      <c r="Q595" s="101"/>
    </row>
    <row r="596" spans="1:17" s="102" customFormat="1">
      <c r="A596" s="101"/>
      <c r="B596" s="101"/>
      <c r="C596" s="101"/>
      <c r="Q596" s="101"/>
    </row>
    <row r="597" spans="1:17" s="102" customFormat="1">
      <c r="A597" s="101"/>
      <c r="B597" s="101"/>
      <c r="C597" s="101"/>
      <c r="Q597" s="101"/>
    </row>
    <row r="598" spans="1:17" s="102" customFormat="1">
      <c r="A598" s="101"/>
      <c r="B598" s="101"/>
      <c r="C598" s="101"/>
      <c r="Q598" s="101"/>
    </row>
    <row r="599" spans="1:17" s="102" customFormat="1">
      <c r="A599" s="101"/>
      <c r="B599" s="101"/>
      <c r="C599" s="101"/>
      <c r="Q599" s="101"/>
    </row>
    <row r="600" spans="1:17" s="102" customFormat="1">
      <c r="A600" s="101"/>
      <c r="B600" s="101"/>
      <c r="C600" s="101"/>
      <c r="Q600" s="101"/>
    </row>
    <row r="601" spans="1:17" s="102" customFormat="1">
      <c r="A601" s="101"/>
      <c r="B601" s="101"/>
      <c r="C601" s="101"/>
      <c r="Q601" s="101"/>
    </row>
    <row r="602" spans="1:17" s="102" customFormat="1">
      <c r="A602" s="101"/>
      <c r="B602" s="101"/>
      <c r="C602" s="101"/>
      <c r="Q602" s="101"/>
    </row>
    <row r="603" spans="1:17" s="102" customFormat="1">
      <c r="A603" s="101"/>
      <c r="B603" s="101"/>
      <c r="C603" s="101"/>
      <c r="Q603" s="101"/>
    </row>
    <row r="604" spans="1:17" s="102" customFormat="1">
      <c r="A604" s="101"/>
      <c r="B604" s="101"/>
      <c r="C604" s="101"/>
      <c r="Q604" s="101"/>
    </row>
    <row r="605" spans="1:17" s="102" customFormat="1">
      <c r="A605" s="101"/>
      <c r="B605" s="101"/>
      <c r="C605" s="101"/>
      <c r="Q605" s="101"/>
    </row>
    <row r="606" spans="1:17" s="102" customFormat="1">
      <c r="A606" s="101"/>
      <c r="B606" s="101"/>
      <c r="C606" s="101"/>
      <c r="Q606" s="101"/>
    </row>
    <row r="607" spans="1:17" s="102" customFormat="1">
      <c r="A607" s="101"/>
      <c r="B607" s="101"/>
      <c r="C607" s="101"/>
      <c r="Q607" s="101"/>
    </row>
    <row r="608" spans="1:17" s="102" customFormat="1">
      <c r="A608" s="101"/>
      <c r="B608" s="101"/>
      <c r="C608" s="101"/>
      <c r="Q608" s="101"/>
    </row>
    <row r="609" spans="1:17" s="102" customFormat="1">
      <c r="A609" s="101"/>
      <c r="B609" s="101"/>
      <c r="C609" s="101"/>
      <c r="Q609" s="101"/>
    </row>
    <row r="610" spans="1:17" s="102" customFormat="1">
      <c r="A610" s="101"/>
      <c r="B610" s="101"/>
      <c r="C610" s="101"/>
      <c r="Q610" s="101"/>
    </row>
    <row r="611" spans="1:17" s="102" customFormat="1">
      <c r="A611" s="101"/>
      <c r="B611" s="101"/>
      <c r="C611" s="101"/>
      <c r="Q611" s="101"/>
    </row>
    <row r="612" spans="1:17" s="102" customFormat="1">
      <c r="A612" s="101"/>
      <c r="B612" s="101"/>
      <c r="C612" s="101"/>
      <c r="Q612" s="101"/>
    </row>
    <row r="613" spans="1:17" s="102" customFormat="1">
      <c r="A613" s="101"/>
      <c r="B613" s="101"/>
      <c r="C613" s="101"/>
      <c r="Q613" s="101"/>
    </row>
    <row r="614" spans="1:17" s="102" customFormat="1">
      <c r="A614" s="101"/>
      <c r="B614" s="101"/>
      <c r="C614" s="101"/>
      <c r="Q614" s="101"/>
    </row>
    <row r="615" spans="1:17" s="102" customFormat="1">
      <c r="A615" s="101"/>
      <c r="B615" s="101"/>
      <c r="C615" s="101"/>
      <c r="Q615" s="101"/>
    </row>
    <row r="616" spans="1:17" s="102" customFormat="1">
      <c r="A616" s="101"/>
      <c r="B616" s="101"/>
      <c r="C616" s="101"/>
      <c r="Q616" s="101"/>
    </row>
    <row r="617" spans="1:17" s="102" customFormat="1">
      <c r="A617" s="101"/>
      <c r="B617" s="101"/>
      <c r="C617" s="101"/>
      <c r="Q617" s="101"/>
    </row>
    <row r="618" spans="1:17" s="102" customFormat="1">
      <c r="A618" s="101"/>
      <c r="B618" s="101"/>
      <c r="C618" s="101"/>
      <c r="Q618" s="101"/>
    </row>
    <row r="619" spans="1:17" s="102" customFormat="1">
      <c r="A619" s="101"/>
      <c r="B619" s="101"/>
      <c r="C619" s="101"/>
      <c r="Q619" s="101"/>
    </row>
    <row r="620" spans="1:17" s="102" customFormat="1">
      <c r="A620" s="101"/>
      <c r="B620" s="101"/>
      <c r="C620" s="101"/>
      <c r="Q620" s="101"/>
    </row>
    <row r="621" spans="1:17" s="102" customFormat="1">
      <c r="A621" s="101"/>
      <c r="B621" s="101"/>
      <c r="C621" s="101"/>
      <c r="Q621" s="101"/>
    </row>
    <row r="622" spans="1:17" s="102" customFormat="1">
      <c r="A622" s="101"/>
      <c r="B622" s="101"/>
      <c r="C622" s="101"/>
      <c r="Q622" s="101"/>
    </row>
    <row r="623" spans="1:17" s="102" customFormat="1">
      <c r="A623" s="101"/>
      <c r="B623" s="101"/>
      <c r="C623" s="101"/>
      <c r="Q623" s="101"/>
    </row>
    <row r="624" spans="1:17" s="102" customFormat="1">
      <c r="A624" s="101"/>
      <c r="B624" s="101"/>
      <c r="C624" s="101"/>
      <c r="Q624" s="101"/>
    </row>
    <row r="625" spans="1:17" s="102" customFormat="1">
      <c r="A625" s="101"/>
      <c r="B625" s="101"/>
      <c r="C625" s="101"/>
      <c r="Q625" s="101"/>
    </row>
    <row r="626" spans="1:17" s="102" customFormat="1">
      <c r="A626" s="101"/>
      <c r="B626" s="101"/>
      <c r="C626" s="101"/>
      <c r="Q626" s="101"/>
    </row>
    <row r="627" spans="1:17" s="102" customFormat="1">
      <c r="A627" s="101"/>
      <c r="B627" s="101"/>
      <c r="C627" s="101"/>
      <c r="Q627" s="101"/>
    </row>
    <row r="628" spans="1:17" s="102" customFormat="1">
      <c r="A628" s="101"/>
      <c r="B628" s="101"/>
      <c r="C628" s="101"/>
      <c r="Q628" s="101"/>
    </row>
    <row r="629" spans="1:17" s="102" customFormat="1">
      <c r="A629" s="101"/>
      <c r="B629" s="101"/>
      <c r="C629" s="101"/>
      <c r="Q629" s="101"/>
    </row>
    <row r="630" spans="1:17" s="102" customFormat="1">
      <c r="A630" s="101"/>
      <c r="B630" s="101"/>
      <c r="C630" s="101"/>
      <c r="Q630" s="101"/>
    </row>
    <row r="631" spans="1:17" s="102" customFormat="1">
      <c r="A631" s="101"/>
      <c r="B631" s="101"/>
      <c r="C631" s="101"/>
      <c r="Q631" s="101"/>
    </row>
    <row r="632" spans="1:17" s="102" customFormat="1">
      <c r="A632" s="101"/>
      <c r="B632" s="101"/>
      <c r="C632" s="101"/>
      <c r="Q632" s="101"/>
    </row>
    <row r="633" spans="1:17" s="102" customFormat="1">
      <c r="A633" s="101"/>
      <c r="B633" s="101"/>
      <c r="C633" s="101"/>
      <c r="Q633" s="101"/>
    </row>
    <row r="634" spans="1:17" s="102" customFormat="1">
      <c r="A634" s="101"/>
      <c r="B634" s="101"/>
      <c r="C634" s="101"/>
      <c r="Q634" s="101"/>
    </row>
    <row r="635" spans="1:17" s="102" customFormat="1">
      <c r="A635" s="101"/>
      <c r="B635" s="101"/>
      <c r="C635" s="101"/>
      <c r="Q635" s="101"/>
    </row>
    <row r="636" spans="1:17" s="102" customFormat="1">
      <c r="A636" s="101"/>
      <c r="B636" s="101"/>
      <c r="C636" s="101"/>
      <c r="Q636" s="101"/>
    </row>
    <row r="637" spans="1:17" s="102" customFormat="1">
      <c r="A637" s="101"/>
      <c r="B637" s="101"/>
      <c r="C637" s="101"/>
      <c r="Q637" s="101"/>
    </row>
    <row r="638" spans="1:17" s="102" customFormat="1">
      <c r="A638" s="101"/>
      <c r="B638" s="101"/>
      <c r="C638" s="101"/>
      <c r="Q638" s="101"/>
    </row>
    <row r="639" spans="1:17" s="102" customFormat="1">
      <c r="A639" s="101"/>
      <c r="B639" s="101"/>
      <c r="C639" s="101"/>
      <c r="Q639" s="101"/>
    </row>
    <row r="640" spans="1:17" s="102" customFormat="1">
      <c r="A640" s="101"/>
      <c r="B640" s="101"/>
      <c r="C640" s="101"/>
      <c r="Q640" s="101"/>
    </row>
    <row r="641" spans="1:17" s="102" customFormat="1">
      <c r="A641" s="101"/>
      <c r="B641" s="101"/>
      <c r="C641" s="101"/>
      <c r="Q641" s="101"/>
    </row>
    <row r="642" spans="1:17" s="102" customFormat="1">
      <c r="A642" s="101"/>
      <c r="B642" s="101"/>
      <c r="C642" s="101"/>
      <c r="Q642" s="101"/>
    </row>
    <row r="643" spans="1:17" s="102" customFormat="1">
      <c r="A643" s="101"/>
      <c r="B643" s="101"/>
      <c r="C643" s="101"/>
      <c r="Q643" s="101"/>
    </row>
    <row r="644" spans="1:17" s="102" customFormat="1">
      <c r="A644" s="101"/>
      <c r="B644" s="101"/>
      <c r="C644" s="101"/>
      <c r="Q644" s="101"/>
    </row>
    <row r="645" spans="1:17" s="102" customFormat="1">
      <c r="A645" s="101"/>
      <c r="B645" s="101"/>
      <c r="C645" s="101"/>
      <c r="Q645" s="101"/>
    </row>
    <row r="646" spans="1:17" s="102" customFormat="1">
      <c r="A646" s="101"/>
      <c r="B646" s="101"/>
      <c r="C646" s="101"/>
      <c r="Q646" s="101"/>
    </row>
    <row r="647" spans="1:17" s="102" customFormat="1">
      <c r="A647" s="101"/>
      <c r="B647" s="101"/>
      <c r="C647" s="101"/>
      <c r="Q647" s="101"/>
    </row>
    <row r="648" spans="1:17" s="102" customFormat="1">
      <c r="A648" s="101"/>
      <c r="B648" s="101"/>
      <c r="C648" s="101"/>
      <c r="Q648" s="101"/>
    </row>
    <row r="649" spans="1:17" s="102" customFormat="1">
      <c r="A649" s="101"/>
      <c r="B649" s="101"/>
      <c r="C649" s="101"/>
      <c r="Q649" s="101"/>
    </row>
    <row r="650" spans="1:17" s="102" customFormat="1">
      <c r="A650" s="101"/>
      <c r="B650" s="101"/>
      <c r="C650" s="101"/>
      <c r="Q650" s="101"/>
    </row>
    <row r="651" spans="1:17" s="102" customFormat="1">
      <c r="A651" s="101"/>
      <c r="B651" s="101"/>
      <c r="C651" s="101"/>
      <c r="Q651" s="101"/>
    </row>
    <row r="652" spans="1:17" s="102" customFormat="1">
      <c r="A652" s="101"/>
      <c r="B652" s="101"/>
      <c r="C652" s="101"/>
      <c r="Q652" s="101"/>
    </row>
    <row r="653" spans="1:17" s="102" customFormat="1">
      <c r="A653" s="101"/>
      <c r="B653" s="101"/>
      <c r="C653" s="101"/>
      <c r="Q653" s="101"/>
    </row>
    <row r="654" spans="1:17" s="102" customFormat="1">
      <c r="A654" s="101"/>
      <c r="B654" s="101"/>
      <c r="C654" s="101"/>
      <c r="Q654" s="101"/>
    </row>
    <row r="655" spans="1:17" s="102" customFormat="1">
      <c r="A655" s="101"/>
      <c r="B655" s="101"/>
      <c r="C655" s="101"/>
      <c r="Q655" s="101"/>
    </row>
    <row r="656" spans="1:17" s="102" customFormat="1">
      <c r="A656" s="101"/>
      <c r="B656" s="101"/>
      <c r="C656" s="101"/>
      <c r="Q656" s="101"/>
    </row>
    <row r="657" spans="1:17" s="102" customFormat="1">
      <c r="A657" s="101"/>
      <c r="B657" s="101"/>
      <c r="C657" s="101"/>
      <c r="Q657" s="101"/>
    </row>
    <row r="658" spans="1:17" s="102" customFormat="1">
      <c r="A658" s="101"/>
      <c r="B658" s="101"/>
      <c r="C658" s="101"/>
      <c r="Q658" s="101"/>
    </row>
    <row r="659" spans="1:17" s="102" customFormat="1">
      <c r="A659" s="101"/>
      <c r="B659" s="101"/>
      <c r="C659" s="101"/>
      <c r="Q659" s="101"/>
    </row>
    <row r="660" spans="1:17" s="102" customFormat="1">
      <c r="A660" s="101"/>
      <c r="B660" s="101"/>
      <c r="C660" s="101"/>
      <c r="Q660" s="101"/>
    </row>
    <row r="661" spans="1:17" s="102" customFormat="1">
      <c r="A661" s="101"/>
      <c r="B661" s="101"/>
      <c r="C661" s="101"/>
      <c r="Q661" s="101"/>
    </row>
    <row r="662" spans="1:17" s="102" customFormat="1">
      <c r="A662" s="101"/>
      <c r="B662" s="101"/>
      <c r="C662" s="101"/>
      <c r="Q662" s="101"/>
    </row>
    <row r="663" spans="1:17" s="102" customFormat="1">
      <c r="A663" s="101"/>
      <c r="B663" s="101"/>
      <c r="C663" s="101"/>
      <c r="Q663" s="101"/>
    </row>
    <row r="664" spans="1:17" s="102" customFormat="1">
      <c r="A664" s="101"/>
      <c r="B664" s="101"/>
      <c r="C664" s="101"/>
      <c r="Q664" s="101"/>
    </row>
    <row r="665" spans="1:17" s="102" customFormat="1">
      <c r="A665" s="101"/>
      <c r="B665" s="101"/>
      <c r="C665" s="101"/>
      <c r="Q665" s="101"/>
    </row>
    <row r="666" spans="1:17" s="102" customFormat="1">
      <c r="A666" s="101"/>
      <c r="B666" s="101"/>
      <c r="C666" s="101"/>
      <c r="Q666" s="101"/>
    </row>
    <row r="667" spans="1:17" s="102" customFormat="1">
      <c r="A667" s="101"/>
      <c r="B667" s="101"/>
      <c r="C667" s="101"/>
      <c r="Q667" s="101"/>
    </row>
    <row r="668" spans="1:17" s="102" customFormat="1">
      <c r="A668" s="101"/>
      <c r="B668" s="101"/>
      <c r="C668" s="101"/>
      <c r="Q668" s="101"/>
    </row>
    <row r="669" spans="1:17" s="102" customFormat="1">
      <c r="A669" s="101"/>
      <c r="B669" s="101"/>
      <c r="C669" s="101"/>
      <c r="Q669" s="101"/>
    </row>
    <row r="670" spans="1:17" s="102" customFormat="1">
      <c r="A670" s="101"/>
      <c r="B670" s="101"/>
      <c r="C670" s="101"/>
      <c r="Q670" s="101"/>
    </row>
    <row r="671" spans="1:17" s="102" customFormat="1">
      <c r="A671" s="101"/>
      <c r="B671" s="101"/>
      <c r="C671" s="101"/>
      <c r="Q671" s="101"/>
    </row>
    <row r="672" spans="1:17" s="102" customFormat="1">
      <c r="A672" s="101"/>
      <c r="B672" s="101"/>
      <c r="C672" s="101"/>
      <c r="Q672" s="101"/>
    </row>
    <row r="673" spans="1:17" s="102" customFormat="1">
      <c r="A673" s="101"/>
      <c r="B673" s="101"/>
      <c r="C673" s="101"/>
      <c r="Q673" s="101"/>
    </row>
    <row r="674" spans="1:17" s="102" customFormat="1">
      <c r="A674" s="101"/>
      <c r="B674" s="101"/>
      <c r="C674" s="101"/>
      <c r="Q674" s="101"/>
    </row>
    <row r="675" spans="1:17" s="102" customFormat="1">
      <c r="A675" s="101"/>
      <c r="B675" s="101"/>
      <c r="C675" s="101"/>
      <c r="Q675" s="101"/>
    </row>
    <row r="676" spans="1:17" s="102" customFormat="1">
      <c r="A676" s="101"/>
      <c r="B676" s="101"/>
      <c r="C676" s="101"/>
      <c r="Q676" s="101"/>
    </row>
    <row r="677" spans="1:17" s="102" customFormat="1">
      <c r="A677" s="101"/>
      <c r="B677" s="101"/>
      <c r="C677" s="101"/>
      <c r="Q677" s="101"/>
    </row>
    <row r="678" spans="1:17" s="102" customFormat="1">
      <c r="A678" s="101"/>
      <c r="B678" s="101"/>
      <c r="C678" s="101"/>
      <c r="Q678" s="101"/>
    </row>
    <row r="679" spans="1:17" s="102" customFormat="1">
      <c r="A679" s="101"/>
      <c r="B679" s="101"/>
      <c r="C679" s="101"/>
      <c r="Q679" s="101"/>
    </row>
    <row r="680" spans="1:17" s="102" customFormat="1">
      <c r="A680" s="101"/>
      <c r="B680" s="101"/>
      <c r="C680" s="101"/>
      <c r="Q680" s="101"/>
    </row>
    <row r="681" spans="1:17" s="102" customFormat="1">
      <c r="A681" s="101"/>
      <c r="B681" s="101"/>
      <c r="C681" s="101"/>
      <c r="Q681" s="101"/>
    </row>
    <row r="682" spans="1:17" s="102" customFormat="1">
      <c r="A682" s="101"/>
      <c r="B682" s="101"/>
      <c r="C682" s="101"/>
      <c r="Q682" s="101"/>
    </row>
    <row r="683" spans="1:17" s="102" customFormat="1">
      <c r="A683" s="101"/>
      <c r="B683" s="101"/>
      <c r="C683" s="101"/>
      <c r="Q683" s="101"/>
    </row>
    <row r="684" spans="1:17" s="102" customFormat="1">
      <c r="A684" s="101"/>
      <c r="B684" s="101"/>
      <c r="C684" s="101"/>
      <c r="Q684" s="101"/>
    </row>
    <row r="685" spans="1:17" s="102" customFormat="1">
      <c r="A685" s="101"/>
      <c r="B685" s="101"/>
      <c r="C685" s="101"/>
      <c r="Q685" s="101"/>
    </row>
    <row r="686" spans="1:17" s="102" customFormat="1">
      <c r="A686" s="101"/>
      <c r="B686" s="101"/>
      <c r="C686" s="101"/>
      <c r="Q686" s="101"/>
    </row>
    <row r="687" spans="1:17" s="102" customFormat="1">
      <c r="A687" s="101"/>
      <c r="B687" s="101"/>
      <c r="C687" s="101"/>
      <c r="Q687" s="101"/>
    </row>
    <row r="688" spans="1:17" s="102" customFormat="1">
      <c r="A688" s="101"/>
      <c r="B688" s="101"/>
      <c r="C688" s="101"/>
      <c r="Q688" s="101"/>
    </row>
    <row r="689" spans="1:17" s="102" customFormat="1">
      <c r="A689" s="101"/>
      <c r="B689" s="101"/>
      <c r="C689" s="101"/>
      <c r="Q689" s="101"/>
    </row>
    <row r="690" spans="1:17" s="102" customFormat="1">
      <c r="A690" s="101"/>
      <c r="B690" s="101"/>
      <c r="C690" s="101"/>
      <c r="Q690" s="101"/>
    </row>
    <row r="691" spans="1:17" s="102" customFormat="1">
      <c r="A691" s="101"/>
      <c r="B691" s="101"/>
      <c r="C691" s="101"/>
      <c r="Q691" s="101"/>
    </row>
    <row r="692" spans="1:17" s="102" customFormat="1">
      <c r="A692" s="101"/>
      <c r="B692" s="101"/>
      <c r="C692" s="101"/>
      <c r="Q692" s="101"/>
    </row>
    <row r="693" spans="1:17" s="102" customFormat="1">
      <c r="A693" s="101"/>
      <c r="B693" s="101"/>
      <c r="C693" s="101"/>
      <c r="Q693" s="101"/>
    </row>
    <row r="694" spans="1:17" s="102" customFormat="1">
      <c r="A694" s="101"/>
      <c r="B694" s="101"/>
      <c r="C694" s="101"/>
      <c r="Q694" s="101"/>
    </row>
    <row r="695" spans="1:17" s="102" customFormat="1">
      <c r="A695" s="101"/>
      <c r="B695" s="101"/>
      <c r="C695" s="101"/>
      <c r="Q695" s="101"/>
    </row>
    <row r="696" spans="1:17" s="102" customFormat="1">
      <c r="A696" s="101"/>
      <c r="B696" s="101"/>
      <c r="C696" s="101"/>
      <c r="Q696" s="101"/>
    </row>
    <row r="697" spans="1:17" s="102" customFormat="1">
      <c r="A697" s="101"/>
      <c r="B697" s="101"/>
      <c r="C697" s="101"/>
      <c r="Q697" s="101"/>
    </row>
    <row r="698" spans="1:17" s="102" customFormat="1">
      <c r="A698" s="101"/>
      <c r="B698" s="101"/>
      <c r="C698" s="101"/>
      <c r="Q698" s="101"/>
    </row>
    <row r="699" spans="1:17" s="102" customFormat="1">
      <c r="A699" s="101"/>
      <c r="B699" s="101"/>
      <c r="C699" s="101"/>
      <c r="Q699" s="101"/>
    </row>
    <row r="700" spans="1:17" s="102" customFormat="1">
      <c r="A700" s="101"/>
      <c r="B700" s="101"/>
      <c r="C700" s="101"/>
      <c r="Q700" s="101"/>
    </row>
    <row r="701" spans="1:17" s="102" customFormat="1">
      <c r="A701" s="101"/>
      <c r="B701" s="101"/>
      <c r="C701" s="101"/>
      <c r="Q701" s="101"/>
    </row>
    <row r="702" spans="1:17" s="102" customFormat="1">
      <c r="A702" s="101"/>
      <c r="B702" s="101"/>
      <c r="C702" s="101"/>
      <c r="Q702" s="101"/>
    </row>
    <row r="703" spans="1:17" s="102" customFormat="1">
      <c r="A703" s="101"/>
      <c r="B703" s="101"/>
      <c r="C703" s="101"/>
      <c r="Q703" s="101"/>
    </row>
    <row r="704" spans="1:17" s="102" customFormat="1">
      <c r="A704" s="101"/>
      <c r="B704" s="101"/>
      <c r="C704" s="101"/>
      <c r="Q704" s="101"/>
    </row>
    <row r="705" spans="1:17" s="102" customFormat="1">
      <c r="A705" s="101"/>
      <c r="B705" s="101"/>
      <c r="C705" s="101"/>
      <c r="Q705" s="101"/>
    </row>
    <row r="706" spans="1:17" s="102" customFormat="1">
      <c r="A706" s="101"/>
      <c r="B706" s="101"/>
      <c r="C706" s="101"/>
      <c r="Q706" s="101"/>
    </row>
    <row r="707" spans="1:17" s="102" customFormat="1">
      <c r="A707" s="101"/>
      <c r="B707" s="101"/>
      <c r="C707" s="101"/>
      <c r="Q707" s="101"/>
    </row>
    <row r="708" spans="1:17" s="102" customFormat="1">
      <c r="A708" s="101"/>
      <c r="B708" s="101"/>
      <c r="C708" s="101"/>
      <c r="Q708" s="101"/>
    </row>
    <row r="709" spans="1:17" s="102" customFormat="1">
      <c r="A709" s="101"/>
      <c r="B709" s="101"/>
      <c r="C709" s="101"/>
      <c r="Q709" s="101"/>
    </row>
    <row r="710" spans="1:17" s="102" customFormat="1">
      <c r="A710" s="101"/>
      <c r="B710" s="101"/>
      <c r="C710" s="101"/>
      <c r="Q710" s="101"/>
    </row>
    <row r="711" spans="1:17" s="102" customFormat="1">
      <c r="A711" s="101"/>
      <c r="B711" s="101"/>
      <c r="C711" s="101"/>
      <c r="Q711" s="101"/>
    </row>
    <row r="712" spans="1:17" s="102" customFormat="1">
      <c r="A712" s="101"/>
      <c r="B712" s="101"/>
      <c r="C712" s="101"/>
      <c r="Q712" s="101"/>
    </row>
    <row r="713" spans="1:17" s="102" customFormat="1">
      <c r="A713" s="101"/>
      <c r="B713" s="101"/>
      <c r="C713" s="101"/>
      <c r="Q713" s="101"/>
    </row>
    <row r="714" spans="1:17" s="102" customFormat="1">
      <c r="A714" s="101"/>
      <c r="B714" s="101"/>
      <c r="C714" s="101"/>
      <c r="Q714" s="101"/>
    </row>
    <row r="715" spans="1:17" s="102" customFormat="1">
      <c r="A715" s="101"/>
      <c r="B715" s="101"/>
      <c r="C715" s="101"/>
      <c r="Q715" s="101"/>
    </row>
    <row r="716" spans="1:17" s="102" customFormat="1">
      <c r="A716" s="101"/>
      <c r="B716" s="101"/>
      <c r="C716" s="101"/>
      <c r="Q716" s="101"/>
    </row>
    <row r="717" spans="1:17" s="102" customFormat="1">
      <c r="A717" s="101"/>
      <c r="B717" s="101"/>
      <c r="C717" s="101"/>
      <c r="Q717" s="101"/>
    </row>
    <row r="718" spans="1:17" s="102" customFormat="1">
      <c r="A718" s="101"/>
      <c r="B718" s="101"/>
      <c r="C718" s="101"/>
      <c r="Q718" s="101"/>
    </row>
    <row r="719" spans="1:17" s="102" customFormat="1">
      <c r="A719" s="101"/>
      <c r="B719" s="101"/>
      <c r="C719" s="101"/>
      <c r="Q719" s="101"/>
    </row>
    <row r="720" spans="1:17" s="102" customFormat="1">
      <c r="A720" s="101"/>
      <c r="B720" s="101"/>
      <c r="C720" s="101"/>
      <c r="Q720" s="101"/>
    </row>
    <row r="721" spans="1:17" s="102" customFormat="1">
      <c r="A721" s="101"/>
      <c r="B721" s="101"/>
      <c r="C721" s="101"/>
      <c r="Q721" s="101"/>
    </row>
    <row r="722" spans="1:17" s="102" customFormat="1">
      <c r="A722" s="101"/>
      <c r="B722" s="101"/>
      <c r="C722" s="101"/>
      <c r="Q722" s="101"/>
    </row>
    <row r="723" spans="1:17" s="102" customFormat="1">
      <c r="A723" s="101"/>
      <c r="B723" s="101"/>
      <c r="C723" s="101"/>
      <c r="Q723" s="101"/>
    </row>
    <row r="724" spans="1:17" s="102" customFormat="1">
      <c r="A724" s="101"/>
      <c r="B724" s="101"/>
      <c r="C724" s="101"/>
      <c r="Q724" s="101"/>
    </row>
    <row r="725" spans="1:17" s="102" customFormat="1">
      <c r="A725" s="101"/>
      <c r="B725" s="101"/>
      <c r="C725" s="101"/>
      <c r="Q725" s="101"/>
    </row>
    <row r="726" spans="1:17" s="102" customFormat="1">
      <c r="A726" s="101"/>
      <c r="B726" s="101"/>
      <c r="C726" s="101"/>
      <c r="Q726" s="101"/>
    </row>
    <row r="727" spans="1:17" s="102" customFormat="1">
      <c r="A727" s="101"/>
      <c r="B727" s="101"/>
      <c r="C727" s="101"/>
      <c r="Q727" s="101"/>
    </row>
    <row r="728" spans="1:17" s="102" customFormat="1">
      <c r="A728" s="101"/>
      <c r="B728" s="101"/>
      <c r="C728" s="101"/>
      <c r="Q728" s="101"/>
    </row>
    <row r="729" spans="1:17" s="102" customFormat="1">
      <c r="A729" s="101"/>
      <c r="B729" s="101"/>
      <c r="C729" s="101"/>
      <c r="Q729" s="101"/>
    </row>
    <row r="730" spans="1:17" s="102" customFormat="1">
      <c r="A730" s="101"/>
      <c r="B730" s="101"/>
      <c r="C730" s="101"/>
      <c r="Q730" s="101"/>
    </row>
    <row r="731" spans="1:17" s="102" customFormat="1">
      <c r="A731" s="101"/>
      <c r="B731" s="101"/>
      <c r="C731" s="101"/>
      <c r="Q731" s="101"/>
    </row>
    <row r="732" spans="1:17" s="102" customFormat="1">
      <c r="A732" s="101"/>
      <c r="B732" s="101"/>
      <c r="C732" s="101"/>
      <c r="Q732" s="101"/>
    </row>
    <row r="733" spans="1:17" s="102" customFormat="1">
      <c r="A733" s="101"/>
      <c r="B733" s="101"/>
      <c r="C733" s="101"/>
      <c r="Q733" s="101"/>
    </row>
    <row r="734" spans="1:17" s="102" customFormat="1">
      <c r="A734" s="101"/>
      <c r="B734" s="101"/>
      <c r="C734" s="101"/>
      <c r="Q734" s="101"/>
    </row>
    <row r="735" spans="1:17" s="102" customFormat="1">
      <c r="A735" s="101"/>
      <c r="B735" s="101"/>
      <c r="C735" s="101"/>
      <c r="Q735" s="101"/>
    </row>
    <row r="736" spans="1:17" s="102" customFormat="1">
      <c r="A736" s="101"/>
      <c r="B736" s="101"/>
      <c r="C736" s="101"/>
      <c r="Q736" s="101"/>
    </row>
    <row r="737" spans="1:17" s="102" customFormat="1">
      <c r="A737" s="101"/>
      <c r="B737" s="101"/>
      <c r="C737" s="101"/>
      <c r="Q737" s="101"/>
    </row>
    <row r="738" spans="1:17" s="102" customFormat="1">
      <c r="A738" s="101"/>
      <c r="B738" s="101"/>
      <c r="C738" s="101"/>
      <c r="Q738" s="101"/>
    </row>
    <row r="739" spans="1:17" s="102" customFormat="1">
      <c r="A739" s="101"/>
      <c r="B739" s="101"/>
      <c r="C739" s="101"/>
      <c r="Q739" s="101"/>
    </row>
    <row r="740" spans="1:17" s="102" customFormat="1">
      <c r="A740" s="101"/>
      <c r="B740" s="101"/>
      <c r="C740" s="101"/>
      <c r="Q740" s="101"/>
    </row>
    <row r="741" spans="1:17" s="102" customFormat="1">
      <c r="A741" s="101"/>
      <c r="B741" s="101"/>
      <c r="C741" s="101"/>
      <c r="Q741" s="101"/>
    </row>
    <row r="742" spans="1:17" s="102" customFormat="1">
      <c r="A742" s="101"/>
      <c r="B742" s="101"/>
      <c r="C742" s="101"/>
      <c r="Q742" s="101"/>
    </row>
    <row r="743" spans="1:17" s="102" customFormat="1">
      <c r="A743" s="101"/>
      <c r="B743" s="101"/>
      <c r="C743" s="101"/>
      <c r="Q743" s="101"/>
    </row>
    <row r="744" spans="1:17" s="102" customFormat="1">
      <c r="A744" s="101"/>
      <c r="B744" s="101"/>
      <c r="C744" s="101"/>
      <c r="Q744" s="101"/>
    </row>
    <row r="745" spans="1:17" s="102" customFormat="1">
      <c r="A745" s="101"/>
      <c r="B745" s="101"/>
      <c r="C745" s="101"/>
      <c r="Q745" s="101"/>
    </row>
    <row r="746" spans="1:17" s="102" customFormat="1">
      <c r="A746" s="101"/>
      <c r="B746" s="101"/>
      <c r="C746" s="101"/>
      <c r="Q746" s="101"/>
    </row>
    <row r="747" spans="1:17" s="102" customFormat="1">
      <c r="A747" s="101"/>
      <c r="B747" s="101"/>
      <c r="C747" s="101"/>
      <c r="Q747" s="101"/>
    </row>
    <row r="748" spans="1:17" s="102" customFormat="1">
      <c r="A748" s="101"/>
      <c r="B748" s="101"/>
      <c r="C748" s="101"/>
      <c r="Q748" s="101"/>
    </row>
    <row r="749" spans="1:17" s="102" customFormat="1">
      <c r="A749" s="101"/>
      <c r="B749" s="101"/>
      <c r="C749" s="101"/>
      <c r="Q749" s="101"/>
    </row>
    <row r="750" spans="1:17" s="102" customFormat="1">
      <c r="A750" s="101"/>
      <c r="B750" s="101"/>
      <c r="C750" s="101"/>
      <c r="Q750" s="101"/>
    </row>
    <row r="751" spans="1:17" s="102" customFormat="1">
      <c r="A751" s="101"/>
      <c r="B751" s="101"/>
      <c r="C751" s="101"/>
      <c r="Q751" s="101"/>
    </row>
    <row r="752" spans="1:17" s="102" customFormat="1">
      <c r="A752" s="101"/>
      <c r="B752" s="101"/>
      <c r="C752" s="101"/>
      <c r="Q752" s="101"/>
    </row>
    <row r="753" spans="1:17" s="102" customFormat="1">
      <c r="A753" s="101"/>
      <c r="B753" s="101"/>
      <c r="C753" s="101"/>
      <c r="Q753" s="101"/>
    </row>
    <row r="754" spans="1:17" s="102" customFormat="1">
      <c r="A754" s="101"/>
      <c r="B754" s="101"/>
      <c r="C754" s="101"/>
      <c r="Q754" s="101"/>
    </row>
    <row r="755" spans="1:17" s="102" customFormat="1">
      <c r="A755" s="101"/>
      <c r="B755" s="101"/>
      <c r="C755" s="101"/>
      <c r="Q755" s="101"/>
    </row>
    <row r="756" spans="1:17" s="102" customFormat="1">
      <c r="A756" s="101"/>
      <c r="B756" s="101"/>
      <c r="C756" s="101"/>
      <c r="Q756" s="101"/>
    </row>
    <row r="757" spans="1:17" s="102" customFormat="1">
      <c r="A757" s="101"/>
      <c r="B757" s="101"/>
      <c r="C757" s="101"/>
      <c r="Q757" s="101"/>
    </row>
    <row r="758" spans="1:17" s="102" customFormat="1">
      <c r="A758" s="101"/>
      <c r="B758" s="101"/>
      <c r="C758" s="101"/>
      <c r="Q758" s="101"/>
    </row>
    <row r="759" spans="1:17" s="102" customFormat="1">
      <c r="A759" s="101"/>
      <c r="B759" s="101"/>
      <c r="C759" s="101"/>
      <c r="Q759" s="101"/>
    </row>
    <row r="760" spans="1:17" s="102" customFormat="1">
      <c r="A760" s="101"/>
      <c r="B760" s="101"/>
      <c r="C760" s="101"/>
      <c r="Q760" s="101"/>
    </row>
    <row r="761" spans="1:17" s="102" customFormat="1">
      <c r="A761" s="101"/>
      <c r="B761" s="101"/>
      <c r="C761" s="101"/>
      <c r="Q761" s="101"/>
    </row>
    <row r="762" spans="1:17" s="102" customFormat="1">
      <c r="A762" s="101"/>
      <c r="B762" s="101"/>
      <c r="C762" s="101"/>
      <c r="Q762" s="101"/>
    </row>
    <row r="763" spans="1:17" s="102" customFormat="1">
      <c r="A763" s="101"/>
      <c r="B763" s="101"/>
      <c r="C763" s="101"/>
      <c r="Q763" s="101"/>
    </row>
    <row r="764" spans="1:17" s="102" customFormat="1">
      <c r="A764" s="101"/>
      <c r="B764" s="101"/>
      <c r="C764" s="101"/>
      <c r="Q764" s="101"/>
    </row>
    <row r="765" spans="1:17" s="102" customFormat="1">
      <c r="A765" s="101"/>
      <c r="B765" s="101"/>
      <c r="C765" s="101"/>
      <c r="Q765" s="101"/>
    </row>
    <row r="766" spans="1:17" s="102" customFormat="1">
      <c r="A766" s="101"/>
      <c r="B766" s="101"/>
      <c r="C766" s="101"/>
      <c r="Q766" s="101"/>
    </row>
    <row r="767" spans="1:17" s="102" customFormat="1">
      <c r="A767" s="101"/>
      <c r="B767" s="101"/>
      <c r="C767" s="101"/>
      <c r="Q767" s="101"/>
    </row>
    <row r="768" spans="1:17" s="102" customFormat="1">
      <c r="A768" s="101"/>
      <c r="B768" s="101"/>
      <c r="C768" s="101"/>
      <c r="Q768" s="101"/>
    </row>
    <row r="769" spans="1:28" s="102" customFormat="1">
      <c r="A769" s="101"/>
      <c r="B769" s="101"/>
      <c r="C769" s="101"/>
      <c r="Q769" s="101"/>
    </row>
    <row r="770" spans="1:28" s="102" customFormat="1">
      <c r="A770" s="101"/>
      <c r="B770" s="101"/>
      <c r="C770" s="101"/>
      <c r="Q770" s="101"/>
    </row>
    <row r="771" spans="1:28" s="102" customFormat="1">
      <c r="A771" s="101"/>
      <c r="B771" s="101"/>
      <c r="C771" s="101"/>
      <c r="Q771" s="101"/>
    </row>
    <row r="772" spans="1:28" s="102" customFormat="1">
      <c r="A772" s="101"/>
      <c r="B772" s="101"/>
      <c r="C772" s="101"/>
      <c r="Q772" s="101"/>
    </row>
    <row r="773" spans="1:28" s="102" customFormat="1">
      <c r="A773" s="101"/>
      <c r="B773" s="101"/>
      <c r="C773" s="101"/>
      <c r="Q773" s="101"/>
    </row>
    <row r="774" spans="1:28" s="102" customFormat="1">
      <c r="A774" s="101"/>
      <c r="B774" s="101"/>
      <c r="C774" s="101"/>
      <c r="Q774" s="101"/>
      <c r="Z774" s="53"/>
      <c r="AA774" s="53"/>
      <c r="AB774" s="53"/>
    </row>
    <row r="775" spans="1:28">
      <c r="F775" s="102"/>
    </row>
    <row r="776" spans="1:28">
      <c r="F776" s="102"/>
    </row>
    <row r="777" spans="1:28">
      <c r="F777" s="102"/>
    </row>
    <row r="778" spans="1:28">
      <c r="F778" s="102"/>
    </row>
  </sheetData>
  <mergeCells count="4">
    <mergeCell ref="O4:V4"/>
    <mergeCell ref="H5:L5"/>
    <mergeCell ref="O5:V5"/>
    <mergeCell ref="B8:C8"/>
  </mergeCells>
  <hyperlinks>
    <hyperlink ref="V1" location="Index!A1" display="Return to Index"/>
    <hyperlink ref="N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4"/>
  <sheetViews>
    <sheetView showGridLines="0" zoomScaleNormal="100" workbookViewId="0">
      <pane ySplit="4" topLeftCell="A5" activePane="bottomLeft" state="frozen"/>
      <selection activeCell="C36" sqref="C36"/>
      <selection pane="bottomLeft" activeCell="H1" sqref="H1"/>
    </sheetView>
  </sheetViews>
  <sheetFormatPr defaultRowHeight="15"/>
  <cols>
    <col min="1" max="1" width="5.42578125" style="1163" customWidth="1"/>
    <col min="2" max="2" width="58.7109375" style="1165" customWidth="1"/>
    <col min="3" max="3" width="1" style="1165" customWidth="1"/>
    <col min="4" max="4" width="16.42578125" style="1165" customWidth="1"/>
    <col min="5" max="5" width="14.7109375" style="1165" customWidth="1"/>
    <col min="6" max="6" width="9.42578125" style="1166" customWidth="1"/>
    <col min="7" max="7" width="1" style="1165" customWidth="1"/>
    <col min="8" max="16384" width="9.140625" style="1165"/>
  </cols>
  <sheetData>
    <row r="1" spans="1:9" ht="16.5" thickBot="1">
      <c r="B1" s="1164" t="s">
        <v>1587</v>
      </c>
      <c r="H1" s="703" t="s">
        <v>1123</v>
      </c>
    </row>
    <row r="2" spans="1:9" ht="15.75">
      <c r="B2" s="75" t="str">
        <f>'Smmy Chts'!$A$2</f>
        <v>For the Year Ended August 31, 2018</v>
      </c>
      <c r="I2" s="1184" t="s">
        <v>1699</v>
      </c>
    </row>
    <row r="3" spans="1:9" ht="15.75">
      <c r="B3" s="75" t="str">
        <f>'Smmy Chts'!$A$3</f>
        <v>Source: FY 2018 Annual Financial Report</v>
      </c>
    </row>
    <row r="4" spans="1:9">
      <c r="C4" s="1167"/>
      <c r="D4" s="1235" t="str">
        <f>B2</f>
        <v>For the Year Ended August 31, 2018</v>
      </c>
      <c r="E4" s="1236"/>
      <c r="F4" s="1237"/>
    </row>
    <row r="5" spans="1:9" ht="15" customHeight="1">
      <c r="B5" s="1168" t="s">
        <v>1203</v>
      </c>
      <c r="C5" s="1167"/>
      <c r="D5" s="1169" t="s">
        <v>90</v>
      </c>
      <c r="E5" s="1169" t="s">
        <v>136</v>
      </c>
      <c r="F5" s="1170" t="s">
        <v>1588</v>
      </c>
    </row>
    <row r="6" spans="1:9">
      <c r="A6" s="1163">
        <v>1</v>
      </c>
      <c r="B6" s="74" t="s">
        <v>0</v>
      </c>
      <c r="C6" s="1167"/>
      <c r="D6" s="83">
        <f>'Smmy HRI SbS'!$D$15</f>
        <v>233159298</v>
      </c>
      <c r="E6" s="83">
        <f>'Smmy HRI SbS'!$E$15</f>
        <v>107611</v>
      </c>
      <c r="F6" s="1171">
        <f>ROUND(D6/D$12,3)</f>
        <v>7.4999999999999997E-2</v>
      </c>
    </row>
    <row r="7" spans="1:9">
      <c r="A7" s="1163">
        <v>2</v>
      </c>
      <c r="B7" s="74" t="s">
        <v>77</v>
      </c>
      <c r="C7" s="1167"/>
      <c r="D7" s="1172">
        <f>'Smmy HRI SbS'!$D$26</f>
        <v>27027529</v>
      </c>
      <c r="E7" s="86">
        <f>'Smmy HRI SbS'!$E$26</f>
        <v>12474</v>
      </c>
      <c r="F7" s="1166">
        <f>ROUND(D7/D$12,3)</f>
        <v>8.9999999999999993E-3</v>
      </c>
    </row>
    <row r="8" spans="1:9">
      <c r="A8" s="1163">
        <v>3</v>
      </c>
      <c r="B8" s="74" t="s">
        <v>6</v>
      </c>
      <c r="C8" s="1167"/>
      <c r="D8" s="1172">
        <f>'Smmy HRI SbS'!$D$29</f>
        <v>201008263</v>
      </c>
      <c r="E8" s="86"/>
      <c r="F8" s="1166">
        <f>ROUND(D8/D$12,3)</f>
        <v>6.4000000000000001E-2</v>
      </c>
    </row>
    <row r="9" spans="1:9">
      <c r="A9" s="1163">
        <v>4</v>
      </c>
      <c r="B9" s="74" t="s">
        <v>57</v>
      </c>
      <c r="C9" s="1167"/>
      <c r="D9" s="1172">
        <f>'Smmy HRI SbS'!$D$32</f>
        <v>665714950</v>
      </c>
      <c r="E9" s="86"/>
      <c r="F9" s="1166">
        <f t="shared" ref="F9:F10" si="0">ROUND(D9/D$12,3)</f>
        <v>0.21299999999999999</v>
      </c>
    </row>
    <row r="10" spans="1:9">
      <c r="A10" s="1163">
        <v>5</v>
      </c>
      <c r="B10" s="74" t="s">
        <v>55</v>
      </c>
      <c r="C10" s="1167"/>
      <c r="D10" s="1172">
        <f>'Smmy HRI SbS'!$D$35</f>
        <v>1308148971</v>
      </c>
      <c r="E10" s="86"/>
      <c r="F10" s="1166">
        <f t="shared" si="0"/>
        <v>0.41899999999999998</v>
      </c>
    </row>
    <row r="11" spans="1:9">
      <c r="A11" s="1163">
        <v>6</v>
      </c>
      <c r="B11" s="74" t="s">
        <v>8</v>
      </c>
      <c r="C11" s="1167"/>
      <c r="D11" s="1172">
        <f>'Smmy HRI SbS'!$D$44</f>
        <v>690373215</v>
      </c>
      <c r="E11" s="86"/>
      <c r="F11" s="1166">
        <f>ROUND(D11/D$12,3)</f>
        <v>0.221</v>
      </c>
    </row>
    <row r="12" spans="1:9">
      <c r="A12" s="1163" t="s">
        <v>173</v>
      </c>
      <c r="B12" s="1173" t="s">
        <v>71</v>
      </c>
      <c r="C12" s="1167"/>
      <c r="D12" s="140">
        <f>SUM(D6:D11)</f>
        <v>3125432226</v>
      </c>
      <c r="E12" s="1174"/>
      <c r="F12" s="1175">
        <f>ROUND(D12/D$12,3)</f>
        <v>1</v>
      </c>
    </row>
    <row r="13" spans="1:9">
      <c r="C13" s="1167"/>
    </row>
    <row r="14" spans="1:9">
      <c r="B14" s="1168" t="s">
        <v>97</v>
      </c>
      <c r="C14" s="1167"/>
      <c r="D14" s="1169" t="s">
        <v>90</v>
      </c>
      <c r="E14" s="1169" t="s">
        <v>136</v>
      </c>
      <c r="F14" s="1170" t="s">
        <v>1588</v>
      </c>
    </row>
    <row r="15" spans="1:9">
      <c r="A15" s="1163">
        <v>1</v>
      </c>
      <c r="B15" s="74" t="s">
        <v>0</v>
      </c>
      <c r="C15" s="1167"/>
      <c r="D15" s="83">
        <f>'Smmy HRI SbS'!$F$15</f>
        <v>380383100</v>
      </c>
      <c r="E15" s="83">
        <f>'Smmy HRI SbS'!$G$15</f>
        <v>102976</v>
      </c>
      <c r="F15" s="1171">
        <f>ROUND(D15/D$21,3)</f>
        <v>0.17100000000000001</v>
      </c>
    </row>
    <row r="16" spans="1:9">
      <c r="A16" s="1163">
        <v>2</v>
      </c>
      <c r="B16" s="74" t="s">
        <v>77</v>
      </c>
      <c r="C16" s="1167"/>
      <c r="D16" s="1172">
        <f>'Smmy HRI SbS'!$F$26</f>
        <v>41368962</v>
      </c>
      <c r="E16" s="86">
        <f>'Smmy HRI SbS'!$G$26</f>
        <v>11199</v>
      </c>
      <c r="F16" s="1166">
        <f t="shared" ref="F16:F20" si="1">ROUND(D16/D$21,3)</f>
        <v>1.9E-2</v>
      </c>
    </row>
    <row r="17" spans="1:6">
      <c r="A17" s="1163">
        <v>3</v>
      </c>
      <c r="B17" s="74" t="s">
        <v>6</v>
      </c>
      <c r="C17" s="1167"/>
      <c r="D17" s="1172">
        <f>'Smmy HRI SbS'!$F$29</f>
        <v>129743832</v>
      </c>
      <c r="E17" s="86"/>
      <c r="F17" s="1166">
        <f t="shared" si="1"/>
        <v>5.8000000000000003E-2</v>
      </c>
    </row>
    <row r="18" spans="1:6">
      <c r="A18" s="1163">
        <v>4</v>
      </c>
      <c r="B18" s="74" t="s">
        <v>57</v>
      </c>
      <c r="C18" s="1167"/>
      <c r="D18" s="1172">
        <f>'Smmy HRI SbS'!$F$32</f>
        <v>199548093</v>
      </c>
      <c r="E18" s="86"/>
      <c r="F18" s="1166">
        <f t="shared" si="1"/>
        <v>0.09</v>
      </c>
    </row>
    <row r="19" spans="1:6">
      <c r="A19" s="1163">
        <v>5</v>
      </c>
      <c r="B19" s="74" t="s">
        <v>55</v>
      </c>
      <c r="C19" s="1167"/>
      <c r="D19" s="1172">
        <f>'Smmy HRI SbS'!F35</f>
        <v>1194433196</v>
      </c>
      <c r="E19" s="86"/>
      <c r="F19" s="1166">
        <f t="shared" si="1"/>
        <v>0.53700000000000003</v>
      </c>
    </row>
    <row r="20" spans="1:6">
      <c r="A20" s="1163">
        <v>6</v>
      </c>
      <c r="B20" s="74" t="s">
        <v>8</v>
      </c>
      <c r="C20" s="1167"/>
      <c r="D20" s="1172">
        <f>'Smmy HRI SbS'!$F$44</f>
        <v>277257457</v>
      </c>
      <c r="E20" s="86"/>
      <c r="F20" s="1166">
        <f t="shared" si="1"/>
        <v>0.125</v>
      </c>
    </row>
    <row r="21" spans="1:6">
      <c r="A21" s="1163" t="s">
        <v>173</v>
      </c>
      <c r="B21" s="1173" t="s">
        <v>71</v>
      </c>
      <c r="C21" s="1167"/>
      <c r="D21" s="140">
        <f t="shared" ref="D21" si="2">SUM(D15:D20)</f>
        <v>2222734640</v>
      </c>
      <c r="E21" s="1174"/>
      <c r="F21" s="1175">
        <f>ROUND(D21/D$21,3)</f>
        <v>1</v>
      </c>
    </row>
    <row r="22" spans="1:6">
      <c r="C22" s="1167"/>
    </row>
    <row r="23" spans="1:6">
      <c r="B23" s="1168" t="s">
        <v>98</v>
      </c>
      <c r="C23" s="1167"/>
      <c r="D23" s="1169" t="s">
        <v>90</v>
      </c>
      <c r="E23" s="1169" t="s">
        <v>136</v>
      </c>
      <c r="F23" s="1170" t="s">
        <v>1588</v>
      </c>
    </row>
    <row r="24" spans="1:6">
      <c r="A24" s="1163">
        <v>1</v>
      </c>
      <c r="B24" s="74" t="s">
        <v>0</v>
      </c>
      <c r="C24" s="1167"/>
      <c r="D24" s="83">
        <f>'Smmy HRI SbS'!$H$15</f>
        <v>233613776</v>
      </c>
      <c r="E24" s="83">
        <f>'Smmy HRI SbS'!$I$15</f>
        <v>47794</v>
      </c>
      <c r="F24" s="1171">
        <f>ROUND(D24/D$30,3)</f>
        <v>0.13900000000000001</v>
      </c>
    </row>
    <row r="25" spans="1:6">
      <c r="A25" s="1163">
        <v>2</v>
      </c>
      <c r="B25" s="74" t="s">
        <v>77</v>
      </c>
      <c r="C25" s="1167"/>
      <c r="D25" s="1172">
        <f>'Smmy HRI SbS'!$H$26</f>
        <v>56636942</v>
      </c>
      <c r="E25" s="86">
        <f>'Smmy HRI SbS'!$I$26</f>
        <v>11588</v>
      </c>
      <c r="F25" s="1166">
        <f t="shared" ref="F25:F29" si="3">ROUND(D25/D$30,3)</f>
        <v>3.4000000000000002E-2</v>
      </c>
    </row>
    <row r="26" spans="1:6">
      <c r="A26" s="1163">
        <v>3</v>
      </c>
      <c r="B26" s="74" t="s">
        <v>6</v>
      </c>
      <c r="C26" s="1167"/>
      <c r="D26" s="1172">
        <f>'Smmy HRI SbS'!$H$29</f>
        <v>156372343</v>
      </c>
      <c r="E26" s="86"/>
      <c r="F26" s="1166">
        <f t="shared" si="3"/>
        <v>9.2999999999999999E-2</v>
      </c>
    </row>
    <row r="27" spans="1:6">
      <c r="A27" s="1163">
        <v>4</v>
      </c>
      <c r="B27" s="74" t="s">
        <v>57</v>
      </c>
      <c r="C27" s="1167"/>
      <c r="D27" s="1172">
        <f>'Smmy HRI SbS'!$H$32</f>
        <v>368873422</v>
      </c>
      <c r="E27" s="86"/>
      <c r="F27" s="1166">
        <f t="shared" si="3"/>
        <v>0.219</v>
      </c>
    </row>
    <row r="28" spans="1:6">
      <c r="A28" s="1163">
        <v>5</v>
      </c>
      <c r="B28" s="74" t="s">
        <v>55</v>
      </c>
      <c r="C28" s="1167"/>
      <c r="D28" s="1172">
        <f>'Smmy HRI SbS'!$H$35</f>
        <v>71985820</v>
      </c>
      <c r="E28" s="86"/>
      <c r="F28" s="1166">
        <f t="shared" si="3"/>
        <v>4.2999999999999997E-2</v>
      </c>
    </row>
    <row r="29" spans="1:6">
      <c r="A29" s="1163">
        <v>6</v>
      </c>
      <c r="B29" s="74" t="s">
        <v>8</v>
      </c>
      <c r="C29" s="1167"/>
      <c r="D29" s="1172">
        <f>'Smmy HRI SbS'!$H$44</f>
        <v>798660327</v>
      </c>
      <c r="E29" s="86"/>
      <c r="F29" s="1166">
        <f t="shared" si="3"/>
        <v>0.47399999999999998</v>
      </c>
    </row>
    <row r="30" spans="1:6">
      <c r="A30" s="1163" t="s">
        <v>173</v>
      </c>
      <c r="B30" s="1173" t="s">
        <v>71</v>
      </c>
      <c r="C30" s="1167"/>
      <c r="D30" s="140">
        <f t="shared" ref="D30" si="4">SUM(D24:D29)</f>
        <v>1686142630</v>
      </c>
      <c r="E30" s="1174"/>
      <c r="F30" s="1175">
        <f>ROUND(D30/D$30,3)</f>
        <v>1</v>
      </c>
    </row>
    <row r="31" spans="1:6">
      <c r="C31" s="1167"/>
    </row>
    <row r="32" spans="1:6">
      <c r="B32" s="1168" t="s">
        <v>99</v>
      </c>
      <c r="C32" s="1167"/>
      <c r="D32" s="1169" t="s">
        <v>90</v>
      </c>
      <c r="E32" s="1169" t="s">
        <v>136</v>
      </c>
      <c r="F32" s="1170" t="s">
        <v>1588</v>
      </c>
    </row>
    <row r="33" spans="1:6">
      <c r="A33" s="1163">
        <v>1</v>
      </c>
      <c r="B33" s="74" t="s">
        <v>0</v>
      </c>
      <c r="C33" s="1167"/>
      <c r="D33" s="83">
        <f>'Smmy HRI SbS'!$J$15</f>
        <v>184176527</v>
      </c>
      <c r="E33" s="83">
        <f>'Smmy HRI SbS'!$K$15</f>
        <v>48114</v>
      </c>
      <c r="F33" s="1171">
        <f>ROUND(D33/D$39,3)</f>
        <v>0.21099999999999999</v>
      </c>
    </row>
    <row r="34" spans="1:6">
      <c r="A34" s="1163">
        <v>2</v>
      </c>
      <c r="B34" s="74" t="s">
        <v>77</v>
      </c>
      <c r="C34" s="1167"/>
      <c r="D34" s="1172">
        <f>'Smmy HRI SbS'!$J$26</f>
        <v>45947803</v>
      </c>
      <c r="E34" s="86">
        <f>'Smmy HRI SbS'!$K$26</f>
        <v>12003</v>
      </c>
      <c r="F34" s="1166">
        <f t="shared" ref="F34:F38" si="5">ROUND(D34/D$39,3)</f>
        <v>5.2999999999999999E-2</v>
      </c>
    </row>
    <row r="35" spans="1:6">
      <c r="A35" s="1163">
        <v>3</v>
      </c>
      <c r="B35" s="74" t="s">
        <v>6</v>
      </c>
      <c r="C35" s="1167"/>
      <c r="D35" s="1172">
        <f>'Smmy HRI SbS'!$J$29</f>
        <v>103703491</v>
      </c>
      <c r="E35" s="86"/>
      <c r="F35" s="1166">
        <f t="shared" si="5"/>
        <v>0.11899999999999999</v>
      </c>
    </row>
    <row r="36" spans="1:6">
      <c r="A36" s="1163">
        <v>4</v>
      </c>
      <c r="B36" s="74" t="s">
        <v>57</v>
      </c>
      <c r="C36" s="1167"/>
      <c r="D36" s="1172">
        <f>'Smmy HRI SbS'!$J$32</f>
        <v>216393102</v>
      </c>
      <c r="E36" s="86"/>
      <c r="F36" s="1166">
        <f t="shared" si="5"/>
        <v>0.248</v>
      </c>
    </row>
    <row r="37" spans="1:6">
      <c r="A37" s="1163">
        <v>5</v>
      </c>
      <c r="B37" s="74" t="s">
        <v>55</v>
      </c>
      <c r="C37" s="1167"/>
      <c r="D37" s="1172">
        <f>'Smmy HRI SbS'!$J$35</f>
        <v>0</v>
      </c>
      <c r="E37" s="86"/>
      <c r="F37" s="1166">
        <f t="shared" si="5"/>
        <v>0</v>
      </c>
    </row>
    <row r="38" spans="1:6">
      <c r="A38" s="1163">
        <v>6</v>
      </c>
      <c r="B38" s="74" t="s">
        <v>8</v>
      </c>
      <c r="C38" s="1167"/>
      <c r="D38" s="1172">
        <f>'Smmy HRI SbS'!$J$44</f>
        <v>320647893</v>
      </c>
      <c r="E38" s="86"/>
      <c r="F38" s="1166">
        <f t="shared" si="5"/>
        <v>0.36799999999999999</v>
      </c>
    </row>
    <row r="39" spans="1:6">
      <c r="A39" s="1163" t="s">
        <v>173</v>
      </c>
      <c r="B39" s="1173" t="s">
        <v>71</v>
      </c>
      <c r="C39" s="1167"/>
      <c r="D39" s="140">
        <f t="shared" ref="D39" si="6">SUM(D33:D38)</f>
        <v>870868816</v>
      </c>
      <c r="E39" s="1174"/>
      <c r="F39" s="1175">
        <f>ROUND(D39/D$39,3)</f>
        <v>1</v>
      </c>
    </row>
    <row r="40" spans="1:6">
      <c r="C40" s="1167"/>
    </row>
    <row r="41" spans="1:6">
      <c r="B41" s="1168" t="s">
        <v>100</v>
      </c>
      <c r="C41" s="1167"/>
      <c r="D41" s="1169" t="s">
        <v>90</v>
      </c>
      <c r="E41" s="1169" t="s">
        <v>136</v>
      </c>
      <c r="F41" s="1170" t="s">
        <v>1588</v>
      </c>
    </row>
    <row r="42" spans="1:6">
      <c r="A42" s="1163">
        <v>1</v>
      </c>
      <c r="B42" s="74" t="s">
        <v>0</v>
      </c>
      <c r="C42" s="1167"/>
      <c r="D42" s="83">
        <f>'Smmy HRI SbS'!$L$15</f>
        <v>258497280</v>
      </c>
      <c r="E42" s="83"/>
      <c r="F42" s="1171">
        <f>ROUND(D42/D$48,3)</f>
        <v>0.05</v>
      </c>
    </row>
    <row r="43" spans="1:6">
      <c r="A43" s="1163">
        <v>2</v>
      </c>
      <c r="B43" s="74" t="s">
        <v>77</v>
      </c>
      <c r="C43" s="1167"/>
      <c r="D43" s="1172">
        <f>'Smmy HRI SbS'!$L$26</f>
        <v>1113485</v>
      </c>
      <c r="E43" s="86"/>
      <c r="F43" s="1166">
        <f t="shared" ref="F43:F47" si="7">ROUND(D43/D$48,3)</f>
        <v>0</v>
      </c>
    </row>
    <row r="44" spans="1:6">
      <c r="A44" s="1163">
        <v>3</v>
      </c>
      <c r="B44" s="74" t="s">
        <v>6</v>
      </c>
      <c r="C44" s="1167"/>
      <c r="D44" s="1172">
        <f>'Smmy HRI SbS'!$L$29</f>
        <v>175307623</v>
      </c>
      <c r="E44" s="86"/>
      <c r="F44" s="1166">
        <f t="shared" si="7"/>
        <v>3.4000000000000002E-2</v>
      </c>
    </row>
    <row r="45" spans="1:6">
      <c r="A45" s="1163">
        <v>4</v>
      </c>
      <c r="B45" s="74" t="s">
        <v>57</v>
      </c>
      <c r="C45" s="1167"/>
      <c r="D45" s="1172">
        <f>'Smmy HRI SbS'!$L$32</f>
        <v>403758919</v>
      </c>
      <c r="E45" s="86"/>
      <c r="F45" s="1166">
        <f t="shared" si="7"/>
        <v>7.8E-2</v>
      </c>
    </row>
    <row r="46" spans="1:6">
      <c r="A46" s="1163">
        <v>5</v>
      </c>
      <c r="B46" s="74" t="s">
        <v>55</v>
      </c>
      <c r="C46" s="1167"/>
      <c r="D46" s="1172">
        <f>'Smmy HRI SbS'!$L$35</f>
        <v>3680395600</v>
      </c>
      <c r="E46" s="86"/>
      <c r="F46" s="1166">
        <f t="shared" si="7"/>
        <v>0.71299999999999997</v>
      </c>
    </row>
    <row r="47" spans="1:6">
      <c r="A47" s="1163">
        <v>6</v>
      </c>
      <c r="B47" s="74" t="s">
        <v>8</v>
      </c>
      <c r="C47" s="1167"/>
      <c r="D47" s="1172">
        <f>'Smmy HRI SbS'!$L$44</f>
        <v>645817903</v>
      </c>
      <c r="E47" s="86"/>
      <c r="F47" s="1166">
        <f t="shared" si="7"/>
        <v>0.125</v>
      </c>
    </row>
    <row r="48" spans="1:6">
      <c r="A48" s="1163" t="s">
        <v>173</v>
      </c>
      <c r="B48" s="1173" t="s">
        <v>71</v>
      </c>
      <c r="C48" s="1167"/>
      <c r="D48" s="140">
        <f t="shared" ref="D48" si="8">SUM(D42:D47)</f>
        <v>5164890810</v>
      </c>
      <c r="E48" s="1174"/>
      <c r="F48" s="1175">
        <f>ROUND(D48/D$48,3)</f>
        <v>1</v>
      </c>
    </row>
    <row r="49" spans="1:6">
      <c r="C49" s="1167"/>
    </row>
    <row r="50" spans="1:6">
      <c r="B50" s="1168" t="s">
        <v>1297</v>
      </c>
      <c r="C50" s="1167"/>
      <c r="D50" s="1169" t="s">
        <v>90</v>
      </c>
      <c r="E50" s="1169" t="s">
        <v>136</v>
      </c>
      <c r="F50" s="1170" t="s">
        <v>1588</v>
      </c>
    </row>
    <row r="51" spans="1:6">
      <c r="A51" s="1163">
        <v>1</v>
      </c>
      <c r="B51" s="74" t="s">
        <v>0</v>
      </c>
      <c r="C51" s="1167"/>
      <c r="D51" s="83">
        <f>'Smmy HRI SbS'!$N$15</f>
        <v>64528570</v>
      </c>
      <c r="E51" s="83"/>
      <c r="F51" s="1171">
        <f>ROUND(D51/D$57,3)</f>
        <v>0.32600000000000001</v>
      </c>
    </row>
    <row r="52" spans="1:6">
      <c r="A52" s="1163">
        <v>2</v>
      </c>
      <c r="B52" s="74" t="s">
        <v>77</v>
      </c>
      <c r="C52" s="1167"/>
      <c r="D52" s="1172">
        <f>'Smmy HRI SbS'!$N$26</f>
        <v>182967</v>
      </c>
      <c r="E52" s="86"/>
      <c r="F52" s="1166">
        <f t="shared" ref="F52:F56" si="9">ROUND(D52/D$57,3)</f>
        <v>1E-3</v>
      </c>
    </row>
    <row r="53" spans="1:6">
      <c r="A53" s="1163">
        <v>3</v>
      </c>
      <c r="B53" s="74" t="s">
        <v>6</v>
      </c>
      <c r="C53" s="1167"/>
      <c r="D53" s="1172">
        <f>'Smmy HRI SbS'!$N$29</f>
        <v>10226513</v>
      </c>
      <c r="E53" s="86"/>
      <c r="F53" s="1166">
        <f t="shared" si="9"/>
        <v>5.1999999999999998E-2</v>
      </c>
    </row>
    <row r="54" spans="1:6">
      <c r="A54" s="1163">
        <v>4</v>
      </c>
      <c r="B54" s="74" t="s">
        <v>57</v>
      </c>
      <c r="C54" s="1167"/>
      <c r="D54" s="1172">
        <f>'Smmy HRI SbS'!$N$32</f>
        <v>17429053</v>
      </c>
      <c r="E54" s="86"/>
      <c r="F54" s="1166">
        <f t="shared" si="9"/>
        <v>8.7999999999999995E-2</v>
      </c>
    </row>
    <row r="55" spans="1:6">
      <c r="A55" s="1163">
        <v>5</v>
      </c>
      <c r="B55" s="74" t="s">
        <v>55</v>
      </c>
      <c r="C55" s="1167"/>
      <c r="D55" s="1172">
        <f>'Smmy HRI SbS'!$N$35</f>
        <v>62486035</v>
      </c>
      <c r="E55" s="86"/>
      <c r="F55" s="1166">
        <f t="shared" si="9"/>
        <v>0.316</v>
      </c>
    </row>
    <row r="56" spans="1:6">
      <c r="A56" s="1163">
        <v>6</v>
      </c>
      <c r="B56" s="74" t="s">
        <v>8</v>
      </c>
      <c r="C56" s="1167"/>
      <c r="D56" s="1172">
        <f>'Smmy HRI SbS'!$N$44</f>
        <v>42828488</v>
      </c>
      <c r="E56" s="86"/>
      <c r="F56" s="1166">
        <f t="shared" si="9"/>
        <v>0.217</v>
      </c>
    </row>
    <row r="57" spans="1:6">
      <c r="A57" s="1163" t="s">
        <v>173</v>
      </c>
      <c r="B57" s="1173" t="s">
        <v>71</v>
      </c>
      <c r="C57" s="1167"/>
      <c r="D57" s="140">
        <f t="shared" ref="D57" si="10">SUM(D51:D56)</f>
        <v>197681626</v>
      </c>
      <c r="E57" s="1174"/>
      <c r="F57" s="1175">
        <f>ROUND(D57/D$57,3)</f>
        <v>1</v>
      </c>
    </row>
    <row r="58" spans="1:6">
      <c r="C58" s="1167"/>
    </row>
    <row r="59" spans="1:6">
      <c r="B59" s="1168" t="s">
        <v>102</v>
      </c>
      <c r="C59" s="1167"/>
      <c r="D59" s="1169" t="s">
        <v>90</v>
      </c>
      <c r="E59" s="1169" t="s">
        <v>136</v>
      </c>
      <c r="F59" s="1170" t="s">
        <v>1588</v>
      </c>
    </row>
    <row r="60" spans="1:6">
      <c r="A60" s="1163">
        <v>1</v>
      </c>
      <c r="B60" s="74" t="s">
        <v>0</v>
      </c>
      <c r="C60" s="1167"/>
      <c r="D60" s="83">
        <f>'Smmy HRI SbS'!$P$15</f>
        <v>185992441</v>
      </c>
      <c r="E60" s="83">
        <f>'Smmy HRI SbS'!$Q$15</f>
        <v>59736</v>
      </c>
      <c r="F60" s="1171">
        <f>ROUND(D60/D$66,3)</f>
        <v>0.53900000000000003</v>
      </c>
    </row>
    <row r="61" spans="1:6">
      <c r="A61" s="1163">
        <v>2</v>
      </c>
      <c r="B61" s="74" t="s">
        <v>77</v>
      </c>
      <c r="C61" s="1167"/>
      <c r="D61" s="1172">
        <f>'Smmy HRI SbS'!$P$26</f>
        <v>38150656</v>
      </c>
      <c r="E61" s="86">
        <f>'Smmy HRI SbS'!$Q$26</f>
        <v>12253</v>
      </c>
      <c r="F61" s="1166">
        <f>ROUND(D61/D$66,3)</f>
        <v>0.111</v>
      </c>
    </row>
    <row r="62" spans="1:6">
      <c r="A62" s="1163">
        <v>3</v>
      </c>
      <c r="B62" s="74" t="s">
        <v>6</v>
      </c>
      <c r="C62" s="1167"/>
      <c r="D62" s="1172">
        <f>'Smmy HRI SbS'!$P$29</f>
        <v>42170209</v>
      </c>
      <c r="E62" s="86"/>
      <c r="F62" s="1166">
        <f>ROUND(D62/D$66,3)</f>
        <v>0.122</v>
      </c>
    </row>
    <row r="63" spans="1:6">
      <c r="A63" s="1163">
        <v>4</v>
      </c>
      <c r="B63" s="74" t="s">
        <v>57</v>
      </c>
      <c r="C63" s="1167"/>
      <c r="D63" s="1172">
        <f>'Smmy HRI SbS'!$P$32</f>
        <v>0</v>
      </c>
      <c r="E63" s="86"/>
      <c r="F63" s="1166">
        <f t="shared" ref="F63:F64" si="11">ROUND(D63/D$12,3)</f>
        <v>0</v>
      </c>
    </row>
    <row r="64" spans="1:6">
      <c r="A64" s="1163">
        <v>5</v>
      </c>
      <c r="B64" s="74" t="s">
        <v>55</v>
      </c>
      <c r="C64" s="1167"/>
      <c r="D64" s="1172">
        <f>'Smmy HRI SbS'!$P$35</f>
        <v>0</v>
      </c>
      <c r="E64" s="86"/>
      <c r="F64" s="1166">
        <f t="shared" si="11"/>
        <v>0</v>
      </c>
    </row>
    <row r="65" spans="1:6">
      <c r="A65" s="1163">
        <v>6</v>
      </c>
      <c r="B65" s="74" t="s">
        <v>8</v>
      </c>
      <c r="C65" s="1167"/>
      <c r="D65" s="1172">
        <f>'Smmy HRI SbS'!$P$44</f>
        <v>78850978</v>
      </c>
      <c r="E65" s="86"/>
      <c r="F65" s="1166">
        <f>ROUND(D65/D$66,3)</f>
        <v>0.22800000000000001</v>
      </c>
    </row>
    <row r="66" spans="1:6">
      <c r="A66" s="1163" t="s">
        <v>173</v>
      </c>
      <c r="B66" s="1173" t="s">
        <v>71</v>
      </c>
      <c r="C66" s="1167"/>
      <c r="D66" s="140">
        <f t="shared" ref="D66" si="12">SUM(D60:D65)</f>
        <v>345164284</v>
      </c>
      <c r="E66" s="1174"/>
      <c r="F66" s="1175">
        <f>ROUND(D66/D$66,3)</f>
        <v>1</v>
      </c>
    </row>
    <row r="67" spans="1:6">
      <c r="C67" s="1167"/>
    </row>
    <row r="68" spans="1:6">
      <c r="B68" s="1168" t="s">
        <v>104</v>
      </c>
      <c r="C68" s="1167"/>
      <c r="D68" s="1169" t="s">
        <v>90</v>
      </c>
      <c r="E68" s="1169" t="s">
        <v>136</v>
      </c>
      <c r="F68" s="1170" t="s">
        <v>1588</v>
      </c>
    </row>
    <row r="69" spans="1:6">
      <c r="A69" s="1163">
        <v>1</v>
      </c>
      <c r="B69" s="74" t="s">
        <v>0</v>
      </c>
      <c r="C69" s="1167"/>
      <c r="D69" s="83">
        <f>'Smmy HRI SbS'!$R$15</f>
        <v>122999249</v>
      </c>
      <c r="E69" s="83">
        <f>'Smmy HRI SbS'!$S$15</f>
        <v>43367</v>
      </c>
      <c r="F69" s="1171">
        <f>ROUND(D69/D$75,3)</f>
        <v>0.433</v>
      </c>
    </row>
    <row r="70" spans="1:6">
      <c r="A70" s="1163">
        <v>2</v>
      </c>
      <c r="B70" s="74" t="s">
        <v>77</v>
      </c>
      <c r="C70" s="1167"/>
      <c r="D70" s="1172">
        <f>'Smmy HRI SbS'!$R$26</f>
        <v>29810882</v>
      </c>
      <c r="E70" s="86">
        <f>'Smmy HRI SbS'!$S$26</f>
        <v>10511</v>
      </c>
      <c r="F70" s="1166">
        <f t="shared" ref="F70:F74" si="13">ROUND(D70/D$75,3)</f>
        <v>0.105</v>
      </c>
    </row>
    <row r="71" spans="1:6">
      <c r="A71" s="1163">
        <v>3</v>
      </c>
      <c r="B71" s="74" t="s">
        <v>6</v>
      </c>
      <c r="C71" s="1167"/>
      <c r="D71" s="1172">
        <f>'Smmy HRI SbS'!$R$29</f>
        <v>37000670</v>
      </c>
      <c r="E71" s="86"/>
      <c r="F71" s="1166">
        <f t="shared" si="13"/>
        <v>0.13</v>
      </c>
    </row>
    <row r="72" spans="1:6">
      <c r="A72" s="1163">
        <v>4</v>
      </c>
      <c r="B72" s="74" t="s">
        <v>57</v>
      </c>
      <c r="C72" s="1167"/>
      <c r="D72" s="1172">
        <f>'Smmy HRI SbS'!$R$32</f>
        <v>15378723</v>
      </c>
      <c r="E72" s="86"/>
      <c r="F72" s="1166">
        <f t="shared" si="13"/>
        <v>5.3999999999999999E-2</v>
      </c>
    </row>
    <row r="73" spans="1:6">
      <c r="A73" s="1163">
        <v>5</v>
      </c>
      <c r="B73" s="74" t="s">
        <v>55</v>
      </c>
      <c r="C73" s="1167"/>
      <c r="D73" s="1172">
        <f>'Smmy HRI SbS'!$R$35</f>
        <v>0</v>
      </c>
      <c r="E73" s="86"/>
      <c r="F73" s="1166">
        <f t="shared" si="13"/>
        <v>0</v>
      </c>
    </row>
    <row r="74" spans="1:6">
      <c r="A74" s="1163">
        <v>6</v>
      </c>
      <c r="B74" s="74" t="s">
        <v>8</v>
      </c>
      <c r="C74" s="1167"/>
      <c r="D74" s="1172">
        <f>'Smmy HRI SbS'!$R$44</f>
        <v>78939605</v>
      </c>
      <c r="E74" s="86"/>
      <c r="F74" s="1166">
        <f t="shared" si="13"/>
        <v>0.27800000000000002</v>
      </c>
    </row>
    <row r="75" spans="1:6">
      <c r="A75" s="1163" t="s">
        <v>173</v>
      </c>
      <c r="B75" s="1173" t="s">
        <v>71</v>
      </c>
      <c r="C75" s="1167"/>
      <c r="D75" s="140">
        <f t="shared" ref="D75" si="14">SUM(D69:D74)</f>
        <v>284129129</v>
      </c>
      <c r="E75" s="1174"/>
      <c r="F75" s="1175">
        <f>ROUND(D75/D$75,3)</f>
        <v>1</v>
      </c>
    </row>
    <row r="76" spans="1:6">
      <c r="C76" s="1167"/>
    </row>
    <row r="77" spans="1:6">
      <c r="B77" s="1168" t="s">
        <v>106</v>
      </c>
      <c r="C77" s="1167"/>
      <c r="D77" s="1169" t="s">
        <v>90</v>
      </c>
      <c r="E77" s="1169" t="s">
        <v>136</v>
      </c>
      <c r="F77" s="1170" t="s">
        <v>1588</v>
      </c>
    </row>
    <row r="78" spans="1:6">
      <c r="A78" s="1163">
        <v>1</v>
      </c>
      <c r="B78" s="74" t="s">
        <v>0</v>
      </c>
      <c r="C78" s="1167"/>
      <c r="D78" s="83">
        <f>'Smmy HRI SbS'!$T$15</f>
        <v>201620004</v>
      </c>
      <c r="E78" s="83">
        <f>'Smmy HRI SbS'!$U$15</f>
        <v>35151</v>
      </c>
      <c r="F78" s="1171">
        <f>ROUND(D78/D$84,3)</f>
        <v>0.29299999999999998</v>
      </c>
    </row>
    <row r="79" spans="1:6">
      <c r="A79" s="1163">
        <v>2</v>
      </c>
      <c r="B79" s="74" t="s">
        <v>77</v>
      </c>
      <c r="C79" s="1167"/>
      <c r="D79" s="1172">
        <f>'Smmy HRI SbS'!$T$26</f>
        <v>51990811</v>
      </c>
      <c r="E79" s="86">
        <f>'Smmy HRI SbS'!$U$26</f>
        <v>9064</v>
      </c>
      <c r="F79" s="1166">
        <f t="shared" ref="F79:F83" si="15">ROUND(D79/D$84,3)</f>
        <v>7.4999999999999997E-2</v>
      </c>
    </row>
    <row r="80" spans="1:6">
      <c r="A80" s="1163">
        <v>3</v>
      </c>
      <c r="B80" s="74" t="s">
        <v>6</v>
      </c>
      <c r="C80" s="1167"/>
      <c r="D80" s="1172">
        <f>'Smmy HRI SbS'!$T$29</f>
        <v>19599396</v>
      </c>
      <c r="E80" s="86"/>
      <c r="F80" s="1166">
        <f t="shared" si="15"/>
        <v>2.8000000000000001E-2</v>
      </c>
    </row>
    <row r="81" spans="1:6">
      <c r="A81" s="1163">
        <v>4</v>
      </c>
      <c r="B81" s="74" t="s">
        <v>57</v>
      </c>
      <c r="C81" s="1167"/>
      <c r="D81" s="1172">
        <f>'Smmy HRI SbS'!$T$32</f>
        <v>221537779</v>
      </c>
      <c r="E81" s="86"/>
      <c r="F81" s="1166">
        <f t="shared" si="15"/>
        <v>0.32200000000000001</v>
      </c>
    </row>
    <row r="82" spans="1:6">
      <c r="A82" s="1163">
        <v>5</v>
      </c>
      <c r="B82" s="74" t="s">
        <v>55</v>
      </c>
      <c r="C82" s="1167"/>
      <c r="D82" s="1172">
        <f>'Smmy HRI SbS'!$T$35</f>
        <v>0</v>
      </c>
      <c r="E82" s="86"/>
      <c r="F82" s="1166">
        <f t="shared" si="15"/>
        <v>0</v>
      </c>
    </row>
    <row r="83" spans="1:6">
      <c r="A83" s="1163">
        <v>6</v>
      </c>
      <c r="B83" s="74" t="s">
        <v>8</v>
      </c>
      <c r="C83" s="1167"/>
      <c r="D83" s="1172">
        <f>'Smmy HRI SbS'!$T$44</f>
        <v>193974266</v>
      </c>
      <c r="E83" s="86"/>
      <c r="F83" s="1166">
        <f t="shared" si="15"/>
        <v>0.28199999999999997</v>
      </c>
    </row>
    <row r="84" spans="1:6">
      <c r="A84" s="1163" t="s">
        <v>173</v>
      </c>
      <c r="B84" s="1173" t="s">
        <v>71</v>
      </c>
      <c r="C84" s="1167"/>
      <c r="D84" s="140">
        <f t="shared" ref="D84" si="16">SUM(D78:D83)</f>
        <v>688722256</v>
      </c>
      <c r="E84" s="1174"/>
      <c r="F84" s="1175">
        <f>ROUND(D84/D$84,3)</f>
        <v>1</v>
      </c>
    </row>
    <row r="85" spans="1:6">
      <c r="C85" s="1167"/>
    </row>
    <row r="86" spans="1:6">
      <c r="B86" s="1168" t="s">
        <v>1230</v>
      </c>
      <c r="C86" s="1167"/>
      <c r="D86" s="1169" t="s">
        <v>90</v>
      </c>
      <c r="E86" s="1169" t="s">
        <v>136</v>
      </c>
      <c r="F86" s="1170" t="s">
        <v>1588</v>
      </c>
    </row>
    <row r="87" spans="1:6">
      <c r="A87" s="1163">
        <v>1</v>
      </c>
      <c r="B87" s="74" t="s">
        <v>0</v>
      </c>
      <c r="C87" s="1167"/>
      <c r="D87" s="83">
        <f>'Smmy HRI SbS'!$V$15</f>
        <v>88008374</v>
      </c>
      <c r="E87" s="83">
        <f>'Smmy HRI SbS'!$W$15</f>
        <v>119364</v>
      </c>
      <c r="F87" s="1171">
        <f>ROUND(D87/D$93,3)</f>
        <v>0.34300000000000003</v>
      </c>
    </row>
    <row r="88" spans="1:6">
      <c r="A88" s="1163">
        <v>2</v>
      </c>
      <c r="B88" s="74" t="s">
        <v>77</v>
      </c>
      <c r="C88" s="1167"/>
      <c r="D88" s="1172">
        <f>'Smmy HRI SbS'!$V$26</f>
        <v>8991570</v>
      </c>
      <c r="E88" s="86">
        <f>'Smmy HRI SbS'!$W$26</f>
        <v>12195</v>
      </c>
      <c r="F88" s="1166">
        <f t="shared" ref="F88:F92" si="17">ROUND(D88/D$93,3)</f>
        <v>3.5000000000000003E-2</v>
      </c>
    </row>
    <row r="89" spans="1:6">
      <c r="A89" s="1163">
        <v>3</v>
      </c>
      <c r="B89" s="74" t="s">
        <v>6</v>
      </c>
      <c r="C89" s="1167"/>
      <c r="D89" s="1172">
        <f>'Smmy HRI SbS'!$V$29</f>
        <v>3784539</v>
      </c>
      <c r="E89" s="86"/>
      <c r="F89" s="1166">
        <f t="shared" si="17"/>
        <v>1.4999999999999999E-2</v>
      </c>
    </row>
    <row r="90" spans="1:6">
      <c r="A90" s="1163">
        <v>4</v>
      </c>
      <c r="B90" s="74" t="s">
        <v>57</v>
      </c>
      <c r="C90" s="1167"/>
      <c r="D90" s="1172">
        <f>'Smmy HRI SbS'!$V$32</f>
        <v>51823292</v>
      </c>
      <c r="E90" s="86"/>
      <c r="F90" s="1166">
        <f t="shared" si="17"/>
        <v>0.20200000000000001</v>
      </c>
    </row>
    <row r="91" spans="1:6">
      <c r="A91" s="1163">
        <v>5</v>
      </c>
      <c r="B91" s="74" t="s">
        <v>55</v>
      </c>
      <c r="C91" s="1167"/>
      <c r="D91" s="1172">
        <f>'Smmy HRI SbS'!$V$35</f>
        <v>0</v>
      </c>
      <c r="E91" s="86"/>
      <c r="F91" s="1166">
        <f t="shared" si="17"/>
        <v>0</v>
      </c>
    </row>
    <row r="92" spans="1:6">
      <c r="A92" s="1163">
        <v>6</v>
      </c>
      <c r="B92" s="74" t="s">
        <v>8</v>
      </c>
      <c r="C92" s="1167"/>
      <c r="D92" s="1172">
        <f>'Smmy HRI SbS'!$V$44</f>
        <v>104221173</v>
      </c>
      <c r="E92" s="86"/>
      <c r="F92" s="1166">
        <f t="shared" si="17"/>
        <v>0.40600000000000003</v>
      </c>
    </row>
    <row r="93" spans="1:6">
      <c r="A93" s="1163" t="s">
        <v>173</v>
      </c>
      <c r="B93" s="1173" t="s">
        <v>71</v>
      </c>
      <c r="C93" s="1167"/>
      <c r="D93" s="140">
        <f t="shared" ref="D93" si="18">SUM(D87:D92)</f>
        <v>256828948</v>
      </c>
      <c r="E93" s="1174"/>
      <c r="F93" s="1175">
        <f>ROUND(D93/D$93,3)</f>
        <v>1</v>
      </c>
    </row>
    <row r="94" spans="1:6">
      <c r="B94" s="1176"/>
      <c r="C94" s="1167"/>
      <c r="D94" s="1177"/>
      <c r="E94" s="1177"/>
      <c r="F94" s="1178"/>
    </row>
    <row r="95" spans="1:6" ht="16.5" customHeight="1">
      <c r="B95" s="1168" t="s">
        <v>1315</v>
      </c>
      <c r="C95" s="1167"/>
      <c r="D95" s="1169" t="s">
        <v>90</v>
      </c>
      <c r="E95" s="1169" t="s">
        <v>136</v>
      </c>
      <c r="F95" s="1170" t="s">
        <v>1588</v>
      </c>
    </row>
    <row r="96" spans="1:6">
      <c r="A96" s="1163">
        <v>1</v>
      </c>
      <c r="B96" s="74" t="s">
        <v>0</v>
      </c>
      <c r="C96" s="1167"/>
      <c r="D96" s="83">
        <f>'Smmy HRI SbS'!$X$15</f>
        <v>33735871</v>
      </c>
      <c r="E96" s="83"/>
      <c r="F96" s="1171">
        <f>ROUND(D96/D$102,3)</f>
        <v>0.28000000000000003</v>
      </c>
    </row>
    <row r="97" spans="1:6">
      <c r="A97" s="1163">
        <v>2</v>
      </c>
      <c r="B97" s="74" t="s">
        <v>77</v>
      </c>
      <c r="C97" s="1167"/>
      <c r="D97" s="1172">
        <f>'Smmy HRI SbS'!$X$26</f>
        <v>2537661</v>
      </c>
      <c r="E97" s="86"/>
      <c r="F97" s="1166">
        <f t="shared" ref="F97:F101" si="19">ROUND(D97/D$102,3)</f>
        <v>2.1000000000000001E-2</v>
      </c>
    </row>
    <row r="98" spans="1:6">
      <c r="A98" s="1163">
        <v>3</v>
      </c>
      <c r="B98" s="74" t="s">
        <v>6</v>
      </c>
      <c r="C98" s="1167"/>
      <c r="D98" s="1172">
        <f>'Smmy HRI SbS'!$X$29</f>
        <v>9489928</v>
      </c>
      <c r="E98" s="86"/>
      <c r="F98" s="1166">
        <f t="shared" si="19"/>
        <v>7.9000000000000001E-2</v>
      </c>
    </row>
    <row r="99" spans="1:6">
      <c r="A99" s="1163">
        <v>4</v>
      </c>
      <c r="B99" s="74" t="s">
        <v>57</v>
      </c>
      <c r="C99" s="1167"/>
      <c r="D99" s="1172">
        <f>'Smmy HRI SbS'!$X$32</f>
        <v>2343886</v>
      </c>
      <c r="E99" s="86"/>
      <c r="F99" s="1166">
        <f t="shared" si="19"/>
        <v>1.9E-2</v>
      </c>
    </row>
    <row r="100" spans="1:6">
      <c r="A100" s="1163">
        <v>5</v>
      </c>
      <c r="B100" s="74" t="s">
        <v>55</v>
      </c>
      <c r="C100" s="1167"/>
      <c r="D100" s="1172">
        <f>'Smmy HRI SbS'!$X$35</f>
        <v>0</v>
      </c>
      <c r="E100" s="86"/>
      <c r="F100" s="1166">
        <f t="shared" si="19"/>
        <v>0</v>
      </c>
    </row>
    <row r="101" spans="1:6">
      <c r="A101" s="1163">
        <v>6</v>
      </c>
      <c r="B101" s="74" t="s">
        <v>8</v>
      </c>
      <c r="C101" s="1167"/>
      <c r="D101" s="1172">
        <f>'Smmy HRI SbS'!$X$44</f>
        <v>72492873</v>
      </c>
      <c r="E101" s="86"/>
      <c r="F101" s="1166">
        <f t="shared" si="19"/>
        <v>0.60099999999999998</v>
      </c>
    </row>
    <row r="102" spans="1:6">
      <c r="A102" s="1163" t="s">
        <v>173</v>
      </c>
      <c r="B102" s="1173" t="s">
        <v>71</v>
      </c>
      <c r="C102" s="1167"/>
      <c r="D102" s="140">
        <f t="shared" ref="D102" si="20">SUM(D96:D101)</f>
        <v>120600219</v>
      </c>
      <c r="E102" s="1174"/>
      <c r="F102" s="1175">
        <f>ROUND(D102/D$102,3)</f>
        <v>1</v>
      </c>
    </row>
    <row r="103" spans="1:6">
      <c r="B103" s="1176"/>
      <c r="C103" s="1167"/>
      <c r="D103" s="1177"/>
      <c r="E103" s="1177"/>
      <c r="F103" s="1178"/>
    </row>
    <row r="104" spans="1:6" ht="14.25" customHeight="1">
      <c r="B104" s="1168" t="s">
        <v>1316</v>
      </c>
      <c r="C104" s="1167"/>
      <c r="D104" s="1169" t="s">
        <v>90</v>
      </c>
      <c r="E104" s="1169" t="s">
        <v>136</v>
      </c>
      <c r="F104" s="1170" t="s">
        <v>1588</v>
      </c>
    </row>
    <row r="105" spans="1:6">
      <c r="A105" s="1163">
        <v>1</v>
      </c>
      <c r="B105" s="74" t="s">
        <v>0</v>
      </c>
      <c r="C105" s="1167"/>
      <c r="D105" s="83">
        <f>'Smmy HRI SbS'!$Z$15</f>
        <v>29328746</v>
      </c>
      <c r="E105" s="83"/>
      <c r="F105" s="1171">
        <f>ROUND(D105/D$111,3)</f>
        <v>0.34300000000000003</v>
      </c>
    </row>
    <row r="106" spans="1:6">
      <c r="A106" s="1163">
        <v>2</v>
      </c>
      <c r="B106" s="74" t="s">
        <v>77</v>
      </c>
      <c r="C106" s="1167"/>
      <c r="D106" s="1172">
        <f>'Smmy HRI SbS'!$Z$26</f>
        <v>2246511</v>
      </c>
      <c r="E106" s="86"/>
      <c r="F106" s="1166">
        <f t="shared" ref="F106:F110" si="21">ROUND(D106/D$111,3)</f>
        <v>2.5999999999999999E-2</v>
      </c>
    </row>
    <row r="107" spans="1:6">
      <c r="A107" s="1163">
        <v>3</v>
      </c>
      <c r="B107" s="74" t="s">
        <v>6</v>
      </c>
      <c r="C107" s="1167"/>
      <c r="D107" s="1172">
        <f>'Smmy HRI SbS'!$Z$29</f>
        <v>4297754</v>
      </c>
      <c r="E107" s="86"/>
      <c r="F107" s="1166">
        <f t="shared" si="21"/>
        <v>0.05</v>
      </c>
    </row>
    <row r="108" spans="1:6">
      <c r="A108" s="1163">
        <v>4</v>
      </c>
      <c r="B108" s="74" t="s">
        <v>57</v>
      </c>
      <c r="C108" s="1167"/>
      <c r="D108" s="1172">
        <f>'Smmy HRI SbS'!$Z$32</f>
        <v>4464325</v>
      </c>
      <c r="E108" s="86"/>
      <c r="F108" s="1166">
        <f t="shared" si="21"/>
        <v>5.1999999999999998E-2</v>
      </c>
    </row>
    <row r="109" spans="1:6">
      <c r="A109" s="1163">
        <v>5</v>
      </c>
      <c r="B109" s="74" t="s">
        <v>55</v>
      </c>
      <c r="C109" s="1167"/>
      <c r="D109" s="1172">
        <f>'Smmy HRI SbS'!$Z$35</f>
        <v>0</v>
      </c>
      <c r="E109" s="86"/>
      <c r="F109" s="1166">
        <f t="shared" si="21"/>
        <v>0</v>
      </c>
    </row>
    <row r="110" spans="1:6">
      <c r="A110" s="1163">
        <v>6</v>
      </c>
      <c r="B110" s="74" t="s">
        <v>8</v>
      </c>
      <c r="C110" s="1167"/>
      <c r="D110" s="1172">
        <f>'Smmy HRI SbS'!$Z$44</f>
        <v>45251058</v>
      </c>
      <c r="E110" s="86"/>
      <c r="F110" s="1166">
        <f t="shared" si="21"/>
        <v>0.52900000000000003</v>
      </c>
    </row>
    <row r="111" spans="1:6">
      <c r="A111" s="1163" t="s">
        <v>173</v>
      </c>
      <c r="B111" s="1173" t="s">
        <v>71</v>
      </c>
      <c r="C111" s="1167"/>
      <c r="D111" s="140">
        <f t="shared" ref="D111" si="22">SUM(D105:D110)</f>
        <v>85588394</v>
      </c>
      <c r="E111" s="1174"/>
      <c r="F111" s="1175">
        <f>ROUND(D111/D$111,3)</f>
        <v>1</v>
      </c>
    </row>
    <row r="112" spans="1:6">
      <c r="B112" s="1176"/>
      <c r="C112" s="1167"/>
      <c r="D112" s="1177"/>
      <c r="E112" s="1177"/>
      <c r="F112" s="1178"/>
    </row>
    <row r="113" spans="1:6">
      <c r="C113" s="1167"/>
    </row>
    <row r="114" spans="1:6">
      <c r="B114" s="1179" t="s">
        <v>1589</v>
      </c>
      <c r="C114" s="1180"/>
      <c r="D114" s="1181" t="s">
        <v>90</v>
      </c>
      <c r="E114" s="1181" t="s">
        <v>136</v>
      </c>
      <c r="F114" s="1182" t="s">
        <v>1588</v>
      </c>
    </row>
    <row r="115" spans="1:6">
      <c r="A115" s="1163">
        <v>1</v>
      </c>
      <c r="B115" s="74" t="s">
        <v>0</v>
      </c>
      <c r="C115" s="1167"/>
      <c r="D115" s="83">
        <f>SUMIF($A$6:$A$111,$A115,D$6:D$111)</f>
        <v>2016043236</v>
      </c>
      <c r="E115" s="83"/>
      <c r="F115" s="1171">
        <f>ROUND(D115/D$121,3)</f>
        <v>0.13400000000000001</v>
      </c>
    </row>
    <row r="116" spans="1:6">
      <c r="A116" s="1163">
        <v>2</v>
      </c>
      <c r="B116" s="74" t="s">
        <v>77</v>
      </c>
      <c r="C116" s="1167"/>
      <c r="D116" s="1172">
        <f t="shared" ref="D116:D120" si="23">SUMIF($A$6:$A$111,$A116,D$6:D$111)</f>
        <v>306005779</v>
      </c>
      <c r="E116" s="86"/>
      <c r="F116" s="1166">
        <f>ROUND(D116/D$121,3)</f>
        <v>0.02</v>
      </c>
    </row>
    <row r="117" spans="1:6">
      <c r="A117" s="1163">
        <v>3</v>
      </c>
      <c r="B117" s="74" t="s">
        <v>6</v>
      </c>
      <c r="C117" s="1167"/>
      <c r="D117" s="1172">
        <f t="shared" si="23"/>
        <v>892704561</v>
      </c>
      <c r="E117" s="86"/>
      <c r="F117" s="1166">
        <f t="shared" ref="F117:F119" si="24">ROUND(D117/D$121,3)</f>
        <v>5.8999999999999997E-2</v>
      </c>
    </row>
    <row r="118" spans="1:6">
      <c r="A118" s="1163">
        <v>4</v>
      </c>
      <c r="B118" s="74" t="s">
        <v>57</v>
      </c>
      <c r="C118" s="1167"/>
      <c r="D118" s="1172">
        <f t="shared" si="23"/>
        <v>2167265544</v>
      </c>
      <c r="E118" s="86"/>
      <c r="F118" s="1166">
        <f t="shared" si="24"/>
        <v>0.14399999999999999</v>
      </c>
    </row>
    <row r="119" spans="1:6">
      <c r="A119" s="1163">
        <v>5</v>
      </c>
      <c r="B119" s="74" t="s">
        <v>55</v>
      </c>
      <c r="C119" s="1167"/>
      <c r="D119" s="1172">
        <f t="shared" si="23"/>
        <v>6317449622</v>
      </c>
      <c r="E119" s="86"/>
      <c r="F119" s="1166">
        <f t="shared" si="24"/>
        <v>0.42</v>
      </c>
    </row>
    <row r="120" spans="1:6">
      <c r="A120" s="1163">
        <v>6</v>
      </c>
      <c r="B120" s="74" t="s">
        <v>8</v>
      </c>
      <c r="C120" s="1167"/>
      <c r="D120" s="1172">
        <f t="shared" si="23"/>
        <v>3349315236</v>
      </c>
      <c r="E120" s="86"/>
      <c r="F120" s="1166">
        <f>ROUND(D120/D$121,3)</f>
        <v>0.223</v>
      </c>
    </row>
    <row r="121" spans="1:6">
      <c r="A121" s="1163" t="s">
        <v>173</v>
      </c>
      <c r="B121" s="1173" t="s">
        <v>71</v>
      </c>
      <c r="C121" s="1167"/>
      <c r="D121" s="140">
        <f t="shared" ref="D121" si="25">SUM(D115:D120)</f>
        <v>15048783978</v>
      </c>
      <c r="E121" s="140"/>
      <c r="F121" s="1175">
        <f>ROUND(D121/D$121,3)</f>
        <v>1</v>
      </c>
    </row>
    <row r="124" spans="1:6">
      <c r="D124" s="1183">
        <f>D121-'Smmy HRI SbS'!B45</f>
        <v>0</v>
      </c>
    </row>
  </sheetData>
  <mergeCells count="1">
    <mergeCell ref="D4:F4"/>
  </mergeCells>
  <hyperlinks>
    <hyperlink ref="H1" location="Index!A1" display="Return to Index"/>
  </hyperlinks>
  <printOptions horizontalCentered="1"/>
  <pageMargins left="0.2" right="0.2" top="0.5" bottom="0.5" header="0.3" footer="0.3"/>
  <pageSetup scale="92" fitToHeight="0" orientation="landscape" r:id="rId1"/>
  <headerFooter>
    <oddFooter>Page &amp;P</oddFooter>
  </headerFooter>
  <rowBreaks count="1" manualBreakCount="1">
    <brk id="4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tabColor indexed="13"/>
  </sheetPr>
  <dimension ref="A1:AL95"/>
  <sheetViews>
    <sheetView showGridLines="0" zoomScale="90" zoomScaleNormal="90" workbookViewId="0">
      <pane xSplit="1" ySplit="6" topLeftCell="B7" activePane="bottomRight" state="frozen"/>
      <selection activeCell="C36" sqref="C36"/>
      <selection pane="topRight" activeCell="C36" sqref="C36"/>
      <selection pane="bottomLeft" activeCell="C36" sqref="C36"/>
      <selection pane="bottomRight" activeCell="E1" sqref="E1"/>
    </sheetView>
  </sheetViews>
  <sheetFormatPr defaultRowHeight="12.75"/>
  <cols>
    <col min="1" max="1" width="48" style="74" customWidth="1"/>
    <col min="2" max="2" width="17.85546875" style="74" customWidth="1"/>
    <col min="3" max="3" width="14.7109375" style="74" customWidth="1"/>
    <col min="4" max="4" width="17.85546875" style="74" customWidth="1"/>
    <col min="5" max="5" width="14.7109375" style="74" customWidth="1"/>
    <col min="6" max="6" width="17.85546875" style="74" customWidth="1"/>
    <col min="7" max="7" width="14.7109375" style="74" customWidth="1"/>
    <col min="8" max="8" width="17.85546875" style="74" customWidth="1"/>
    <col min="9" max="9" width="14.7109375" style="74" customWidth="1"/>
    <col min="10" max="10" width="17.85546875" style="74" customWidth="1"/>
    <col min="11" max="11" width="14.7109375" style="74" customWidth="1"/>
    <col min="12" max="12" width="17.85546875" style="74" customWidth="1"/>
    <col min="13" max="13" width="14.7109375" style="74" customWidth="1"/>
    <col min="14" max="14" width="17.85546875" style="74" customWidth="1"/>
    <col min="15" max="15" width="14.7109375" style="74" customWidth="1"/>
    <col min="16" max="16" width="17.85546875" style="74" customWidth="1"/>
    <col min="17" max="17" width="14.7109375" style="74" customWidth="1"/>
    <col min="18" max="18" width="17.85546875" style="74" customWidth="1"/>
    <col min="19" max="19" width="14.7109375" style="74" customWidth="1"/>
    <col min="20" max="20" width="17.85546875" style="74" customWidth="1"/>
    <col min="21" max="21" width="14.7109375" style="74" customWidth="1"/>
    <col min="22" max="22" width="17.85546875" style="74" customWidth="1"/>
    <col min="23" max="23" width="14.7109375" style="74" customWidth="1"/>
    <col min="24" max="24" width="17.85546875" style="74" customWidth="1"/>
    <col min="25" max="25" width="14.7109375" style="74" customWidth="1"/>
    <col min="26" max="26" width="17.85546875" style="74" customWidth="1"/>
    <col min="27" max="27" width="14.7109375" style="74" customWidth="1"/>
    <col min="28" max="16384" width="9.140625" style="74"/>
  </cols>
  <sheetData>
    <row r="1" spans="1:27" ht="16.5" thickBot="1">
      <c r="A1" s="75" t="s">
        <v>174</v>
      </c>
      <c r="B1" s="281"/>
      <c r="C1" s="73"/>
      <c r="D1" s="281"/>
      <c r="E1" s="703" t="s">
        <v>1123</v>
      </c>
      <c r="F1" s="281"/>
      <c r="G1" s="73"/>
      <c r="H1" s="281"/>
      <c r="I1" s="73"/>
      <c r="J1" s="281"/>
      <c r="K1" s="73"/>
      <c r="L1" s="281"/>
      <c r="M1" s="73"/>
      <c r="N1" s="281"/>
      <c r="O1" s="73"/>
      <c r="P1" s="281"/>
      <c r="Q1" s="73"/>
      <c r="R1" s="281"/>
      <c r="S1" s="73"/>
      <c r="T1" s="281"/>
      <c r="U1" s="73"/>
      <c r="V1" s="281"/>
      <c r="W1" s="73"/>
      <c r="X1" s="281"/>
      <c r="Y1" s="73"/>
      <c r="Z1" s="281"/>
      <c r="AA1" s="73"/>
    </row>
    <row r="2" spans="1:27" ht="15.75">
      <c r="A2" s="75" t="str">
        <f>'Smmy Chts'!$A$2</f>
        <v>For the Year Ended August 31, 2018</v>
      </c>
      <c r="B2" s="73"/>
      <c r="C2" s="73"/>
      <c r="D2" s="73"/>
      <c r="E2" s="73"/>
      <c r="F2" s="73"/>
      <c r="G2" s="73"/>
      <c r="H2" s="73"/>
      <c r="I2" s="73"/>
      <c r="J2" s="73"/>
      <c r="K2" s="73"/>
      <c r="L2" s="73"/>
      <c r="M2" s="73"/>
      <c r="N2" s="73"/>
      <c r="O2" s="73"/>
      <c r="P2" s="73"/>
      <c r="Q2" s="73"/>
      <c r="R2" s="73"/>
      <c r="S2" s="73"/>
      <c r="T2" s="73"/>
      <c r="U2" s="73"/>
      <c r="V2" s="73"/>
      <c r="W2" s="73"/>
      <c r="X2" s="73"/>
      <c r="Y2" s="73"/>
      <c r="Z2" s="73"/>
      <c r="AA2" s="73"/>
    </row>
    <row r="3" spans="1:27" ht="15.75">
      <c r="A3" s="75" t="str">
        <f>'Smmy Chts'!$A$3</f>
        <v>Source: FY 2018 Annual Financial Report</v>
      </c>
      <c r="B3" s="73"/>
      <c r="C3" s="73"/>
      <c r="D3" s="73"/>
      <c r="E3" s="73"/>
      <c r="F3" s="73"/>
      <c r="G3" s="73"/>
      <c r="H3" s="73"/>
      <c r="I3" s="73"/>
      <c r="J3" s="73"/>
      <c r="K3" s="73"/>
      <c r="L3" s="73"/>
      <c r="M3" s="73"/>
      <c r="N3" s="73"/>
      <c r="O3" s="73"/>
      <c r="P3" s="73"/>
      <c r="Q3" s="73"/>
      <c r="R3" s="73"/>
      <c r="S3" s="73"/>
      <c r="T3" s="73"/>
      <c r="U3" s="73"/>
      <c r="V3" s="73"/>
      <c r="W3" s="73"/>
      <c r="X3" s="73"/>
      <c r="Y3" s="73"/>
      <c r="Z3" s="73"/>
      <c r="AA3" s="73"/>
    </row>
    <row r="4" spans="1:27" ht="24.75" customHeight="1">
      <c r="B4" s="1240" t="s">
        <v>161</v>
      </c>
      <c r="C4" s="1239"/>
      <c r="D4" s="1238" t="str">
        <f>'SWM Sum'!$A$1</f>
        <v>The University of Texas Southwestern Medical Center</v>
      </c>
      <c r="E4" s="1239"/>
      <c r="F4" s="1238" t="str">
        <f>'MBG Sum'!$A$1</f>
        <v>The University of Texas Medical Branch at Galveston</v>
      </c>
      <c r="G4" s="1239"/>
      <c r="H4" s="1238" t="str">
        <f>'HSH Sum'!$A$1</f>
        <v>The University of Texas Health Science Center at Houston</v>
      </c>
      <c r="I4" s="1239"/>
      <c r="J4" s="1238" t="str">
        <f>'HSSA Sum'!$A$1</f>
        <v>The University of Texas Health Science Center at San Antonio</v>
      </c>
      <c r="K4" s="1239"/>
      <c r="L4" s="1238" t="str">
        <f>'MDA Sum'!$A$1</f>
        <v>The University of Texas M.D. Anderson Cancer Center</v>
      </c>
      <c r="M4" s="1239"/>
      <c r="N4" s="1238" t="str">
        <f>'THC Sum'!$A$1</f>
        <v>The University of Texas Health Science Center at Tyler</v>
      </c>
      <c r="O4" s="1239"/>
      <c r="P4" s="1238" t="str">
        <f>'TAMHSC Sum'!$A$1</f>
        <v>Texas A&amp;M University System Health Science Center</v>
      </c>
      <c r="Q4" s="1239"/>
      <c r="R4" s="1238" t="str">
        <f>'UNTHSC Sum'!$A$1</f>
        <v>University of North Texas Health Science Center at Fort Worth</v>
      </c>
      <c r="S4" s="1239"/>
      <c r="T4" s="1238" t="str">
        <f>'TTUHSC Sum'!$A$1</f>
        <v>Texas Tech University Health Sciences Center</v>
      </c>
      <c r="U4" s="1239"/>
      <c r="V4" s="1238" t="str">
        <f>'TTUHSCEP Sum'!$A$1</f>
        <v>Texas Tech University Health Sciences Center at El Paso</v>
      </c>
      <c r="W4" s="1239"/>
      <c r="X4" s="1238" t="str">
        <f>'AUSM Sum'!$A$1</f>
        <v>The University of Texas at Austin Medical School (M)</v>
      </c>
      <c r="Y4" s="1239"/>
      <c r="Z4" s="1238" t="str">
        <f>'RGVM Sum'!$A$1</f>
        <v>The University of Texas Rio Grande Valley Medical School (M)</v>
      </c>
      <c r="AA4" s="1239"/>
    </row>
    <row r="5" spans="1:27" ht="18">
      <c r="A5" s="41" t="str">
        <f>'Smmy Chts'!$C$35</f>
        <v>Summary Worksheet FY 2018</v>
      </c>
      <c r="B5" s="282" t="s">
        <v>90</v>
      </c>
      <c r="C5" s="282" t="s">
        <v>136</v>
      </c>
      <c r="D5" s="282" t="s">
        <v>90</v>
      </c>
      <c r="E5" s="282" t="s">
        <v>136</v>
      </c>
      <c r="F5" s="282" t="s">
        <v>90</v>
      </c>
      <c r="G5" s="282" t="s">
        <v>136</v>
      </c>
      <c r="H5" s="282" t="s">
        <v>90</v>
      </c>
      <c r="I5" s="282" t="s">
        <v>136</v>
      </c>
      <c r="J5" s="282" t="s">
        <v>90</v>
      </c>
      <c r="K5" s="282" t="s">
        <v>136</v>
      </c>
      <c r="L5" s="282" t="s">
        <v>90</v>
      </c>
      <c r="M5" s="282" t="s">
        <v>136</v>
      </c>
      <c r="N5" s="282" t="s">
        <v>90</v>
      </c>
      <c r="O5" s="282" t="s">
        <v>136</v>
      </c>
      <c r="P5" s="282" t="s">
        <v>90</v>
      </c>
      <c r="Q5" s="282" t="s">
        <v>136</v>
      </c>
      <c r="R5" s="282" t="s">
        <v>90</v>
      </c>
      <c r="S5" s="282" t="s">
        <v>136</v>
      </c>
      <c r="T5" s="282" t="s">
        <v>90</v>
      </c>
      <c r="U5" s="282" t="s">
        <v>136</v>
      </c>
      <c r="V5" s="282" t="s">
        <v>90</v>
      </c>
      <c r="W5" s="282" t="s">
        <v>136</v>
      </c>
      <c r="X5" s="282" t="s">
        <v>90</v>
      </c>
      <c r="Y5" s="282" t="s">
        <v>136</v>
      </c>
      <c r="Z5" s="282" t="s">
        <v>90</v>
      </c>
      <c r="AA5" s="282" t="s">
        <v>136</v>
      </c>
    </row>
    <row r="6" spans="1:27">
      <c r="A6" s="78" t="s">
        <v>175</v>
      </c>
      <c r="B6" s="79"/>
      <c r="C6" s="283">
        <f>SUM(D6:AA6)</f>
        <v>27608.730000000003</v>
      </c>
      <c r="D6" s="79"/>
      <c r="E6" s="283">
        <f>'SWM Sum'!$C6</f>
        <v>2166.6799999999998</v>
      </c>
      <c r="F6" s="79"/>
      <c r="G6" s="283">
        <f>'MBG Sum'!$C6</f>
        <v>3693.9200000000005</v>
      </c>
      <c r="H6" s="79"/>
      <c r="I6" s="283">
        <f>'HSH Sum'!$C6</f>
        <v>4887.8900000000003</v>
      </c>
      <c r="J6" s="79"/>
      <c r="K6" s="283">
        <f>'HSSA Sum'!$C6</f>
        <v>3827.8999999999996</v>
      </c>
      <c r="L6" s="79"/>
      <c r="M6" s="283">
        <f>'MDA Sum'!$C6</f>
        <v>378.18</v>
      </c>
      <c r="N6" s="79"/>
      <c r="O6" s="283">
        <f>'THC Sum'!$C6</f>
        <v>30.130000000000003</v>
      </c>
      <c r="P6" s="79"/>
      <c r="Q6" s="283">
        <f>'TAMHSC Sum'!$C6</f>
        <v>3113.57</v>
      </c>
      <c r="R6" s="79"/>
      <c r="S6" s="283">
        <f>'UNTHSC Sum'!$C6</f>
        <v>2836.2200000000003</v>
      </c>
      <c r="T6" s="79"/>
      <c r="U6" s="283">
        <f>'TTUHSC Sum'!$C6</f>
        <v>5735.93</v>
      </c>
      <c r="V6" s="79"/>
      <c r="W6" s="283">
        <f>'TTUHSCEP Sum'!$C6</f>
        <v>737.31000000000006</v>
      </c>
      <c r="X6" s="79"/>
      <c r="Y6" s="283">
        <f>'AUSM Sum'!$C6</f>
        <v>100</v>
      </c>
      <c r="Z6" s="79"/>
      <c r="AA6" s="283">
        <f>'RGVM Sum'!$C6</f>
        <v>101</v>
      </c>
    </row>
    <row r="7" spans="1:27">
      <c r="B7" s="79"/>
      <c r="C7" s="91" t="str">
        <f>IF(C6&lt;&gt;'Smmy Sum'!$C$18,"Error","")</f>
        <v/>
      </c>
      <c r="E7" s="91" t="str">
        <f>IF(E6&lt;&gt;'SWM Sum'!$C$6,"Error","")</f>
        <v/>
      </c>
      <c r="G7" s="91" t="str">
        <f>IF(G6&lt;&gt;'MBG Sum'!$C$6,"Error","")</f>
        <v/>
      </c>
      <c r="I7" s="91" t="str">
        <f>IF(I6&lt;&gt;'HSH Sum'!$C$6,"Error","")</f>
        <v/>
      </c>
      <c r="K7" s="91" t="str">
        <f>IF(K6&lt;&gt;'HSSA Sum'!$C$6,"Error","")</f>
        <v/>
      </c>
      <c r="M7" s="91" t="str">
        <f>IF(M6&lt;&gt;'MDA Sum'!$C$6,"Error","")</f>
        <v/>
      </c>
      <c r="O7" s="91" t="str">
        <f>IF(O6&lt;&gt;'THC Sum'!$C$6,"Error","")</f>
        <v/>
      </c>
      <c r="Q7" s="91" t="str">
        <f>IF(Q6&lt;&gt;'TAMHSC Sum'!$C$6,"Error","")</f>
        <v/>
      </c>
      <c r="S7" s="91" t="str">
        <f>IF(S6&lt;&gt;'UNTHSC Sum'!$C$6,"Error","")</f>
        <v/>
      </c>
      <c r="U7" s="91" t="str">
        <f>IF(U6&lt;&gt;'TTUHSC Sum'!$C$6,"Error","")</f>
        <v/>
      </c>
      <c r="W7" s="91" t="str">
        <f>IF(W6&lt;&gt;'TTUHSCEP Sum'!$C$6,"Error","")</f>
        <v/>
      </c>
      <c r="Y7" s="91" t="str">
        <f>IF(Y6&lt;&gt;'AUSM Sum'!$C$6,"Error","")</f>
        <v/>
      </c>
      <c r="AA7" s="91" t="str">
        <f>IF(AA6&lt;&gt;'RGVM Sum'!$C$6,"Error","")</f>
        <v/>
      </c>
    </row>
    <row r="8" spans="1:27">
      <c r="A8" s="81" t="s">
        <v>74</v>
      </c>
      <c r="B8" s="81"/>
      <c r="C8" s="81"/>
      <c r="D8" s="81"/>
      <c r="E8" s="81"/>
      <c r="F8" s="81"/>
      <c r="G8" s="81"/>
      <c r="H8" s="81"/>
      <c r="I8" s="81"/>
      <c r="J8" s="81"/>
      <c r="K8" s="81"/>
      <c r="L8" s="81"/>
      <c r="M8" s="81"/>
      <c r="N8" s="81"/>
      <c r="O8" s="81"/>
      <c r="P8" s="81"/>
      <c r="Q8" s="81"/>
      <c r="R8" s="81"/>
      <c r="S8" s="81"/>
      <c r="T8" s="81"/>
      <c r="U8" s="81"/>
      <c r="V8" s="81"/>
      <c r="W8" s="81"/>
      <c r="X8" s="81"/>
      <c r="Y8" s="81"/>
      <c r="Z8" s="81"/>
      <c r="AA8" s="81"/>
    </row>
    <row r="9" spans="1:27" ht="12.75" customHeight="1">
      <c r="A9" s="78" t="s">
        <v>0</v>
      </c>
      <c r="B9" s="82"/>
      <c r="C9" s="82"/>
      <c r="D9" s="82"/>
      <c r="E9" s="82"/>
      <c r="F9" s="82"/>
      <c r="G9" s="82"/>
      <c r="H9" s="82"/>
      <c r="I9" s="82"/>
      <c r="J9" s="82"/>
      <c r="K9" s="82"/>
      <c r="L9" s="82"/>
      <c r="M9" s="82"/>
      <c r="N9" s="82"/>
      <c r="O9" s="82"/>
      <c r="P9" s="82"/>
      <c r="Q9" s="82"/>
      <c r="R9" s="82"/>
      <c r="S9" s="82"/>
      <c r="T9" s="82"/>
      <c r="U9" s="82"/>
      <c r="V9" s="82"/>
      <c r="W9" s="82"/>
      <c r="X9" s="82"/>
      <c r="Y9" s="82"/>
      <c r="Z9" s="82"/>
      <c r="AA9" s="82"/>
    </row>
    <row r="10" spans="1:27" ht="12.75" customHeight="1">
      <c r="A10" s="74" t="s">
        <v>1</v>
      </c>
      <c r="B10" s="83">
        <f>SUMIF(D$77:AA$77,$B$77,D10:AA10)</f>
        <v>1745264029</v>
      </c>
      <c r="C10" s="83">
        <f>ROUND(B10/C$6,0)</f>
        <v>63214</v>
      </c>
      <c r="D10" s="83">
        <f>'SWM FGD'!$M10</f>
        <v>191118600</v>
      </c>
      <c r="E10" s="83">
        <f>ROUND(D10/E$6,0)</f>
        <v>88208</v>
      </c>
      <c r="F10" s="83">
        <f>'MBG FGD'!$M10</f>
        <v>369420210</v>
      </c>
      <c r="G10" s="83">
        <f>ROUND(F10/G$6,0)</f>
        <v>100008</v>
      </c>
      <c r="H10" s="83">
        <f>'HSH FGD'!$M10</f>
        <v>214802895</v>
      </c>
      <c r="I10" s="83">
        <f>ROUND(H10/I$6,0)</f>
        <v>43946</v>
      </c>
      <c r="J10" s="83">
        <f>'HSSA FGD'!$M10</f>
        <v>169212881</v>
      </c>
      <c r="K10" s="83">
        <f>ROUND(J10/K$6,0)</f>
        <v>44205</v>
      </c>
      <c r="L10" s="83">
        <f>'MDA FGD'!$M10</f>
        <v>210130004</v>
      </c>
      <c r="M10" s="83"/>
      <c r="N10" s="83">
        <f>'THC FGD'!$M10</f>
        <v>51387510</v>
      </c>
      <c r="O10" s="83"/>
      <c r="P10" s="83">
        <f>'TAMHSC FGD'!$M10</f>
        <v>161801242</v>
      </c>
      <c r="Q10" s="83">
        <f>ROUND(P10/Q$6,0)</f>
        <v>51966</v>
      </c>
      <c r="R10" s="83">
        <f>'UNTHSC FGD'!$M10</f>
        <v>102748866</v>
      </c>
      <c r="S10" s="83">
        <f>ROUND(R10/S$6,0)</f>
        <v>36227</v>
      </c>
      <c r="T10" s="83">
        <f>'TTUHSC FGD'!$M10</f>
        <v>166507267</v>
      </c>
      <c r="U10" s="83">
        <f>ROUND(T10/U$6,0)</f>
        <v>29029</v>
      </c>
      <c r="V10" s="83">
        <f>'TTUHSCEP FGD'!$M10</f>
        <v>75659465</v>
      </c>
      <c r="W10" s="83">
        <f>ROUND(V10/W$6,0)</f>
        <v>102616</v>
      </c>
      <c r="X10" s="83">
        <f>'AUSM FGD'!$M10</f>
        <v>6071343</v>
      </c>
      <c r="Y10" s="83"/>
      <c r="Z10" s="83">
        <f>'RGVM FGD'!$M10</f>
        <v>26403746</v>
      </c>
      <c r="AA10" s="83"/>
    </row>
    <row r="11" spans="1:27" ht="12.75" customHeight="1">
      <c r="A11" s="74" t="s">
        <v>2</v>
      </c>
      <c r="B11" s="284">
        <f t="shared" ref="B11:B14" si="0">SUMIF(D$77:AA$77,$B$77,D11:AA11)</f>
        <v>180504283</v>
      </c>
      <c r="C11" s="86">
        <f t="shared" ref="C11:C14" si="1">ROUND(B11/C$6,0)</f>
        <v>6538</v>
      </c>
      <c r="D11" s="284">
        <f>'SWM FGD'!$M11</f>
        <v>42040698</v>
      </c>
      <c r="E11" s="86">
        <f t="shared" ref="E11:E14" si="2">ROUND(D11/E$6,0)</f>
        <v>19403</v>
      </c>
      <c r="F11" s="284">
        <f>'MBG FGD'!$M11</f>
        <v>10962890</v>
      </c>
      <c r="G11" s="86">
        <f t="shared" ref="G11:G14" si="3">ROUND(F11/G$6,0)</f>
        <v>2968</v>
      </c>
      <c r="H11" s="284">
        <f>'HSH FGD'!$M11</f>
        <v>18810881</v>
      </c>
      <c r="I11" s="86">
        <f t="shared" ref="I11:I14" si="4">ROUND(H11/I$6,0)</f>
        <v>3848</v>
      </c>
      <c r="J11" s="284">
        <f>'HSSA FGD'!$M11</f>
        <v>14963646</v>
      </c>
      <c r="K11" s="86">
        <f t="shared" ref="K11:K14" si="5">ROUND(J11/K$6,0)</f>
        <v>3909</v>
      </c>
      <c r="L11" s="284">
        <f>'MDA FGD'!$M11</f>
        <v>48367276</v>
      </c>
      <c r="M11" s="86"/>
      <c r="N11" s="284">
        <f>'THC FGD'!$M11</f>
        <v>13141060</v>
      </c>
      <c r="O11" s="86"/>
      <c r="P11" s="284">
        <f>'TAMHSC FGD'!$M11</f>
        <v>5591867</v>
      </c>
      <c r="Q11" s="86">
        <f t="shared" ref="Q11:Q14" si="6">ROUND(P11/Q$6,0)</f>
        <v>1796</v>
      </c>
      <c r="R11" s="284">
        <f>'UNTHSC FGD'!$M11</f>
        <v>3158527</v>
      </c>
      <c r="S11" s="86">
        <f t="shared" ref="S11:S14" si="7">ROUND(R11/S$6,0)</f>
        <v>1114</v>
      </c>
      <c r="T11" s="284">
        <f>'TTUHSC FGD'!$M11</f>
        <v>11740341</v>
      </c>
      <c r="U11" s="86">
        <f t="shared" ref="U11:U14" si="8">ROUND(T11/U$6,0)</f>
        <v>2047</v>
      </c>
      <c r="V11" s="284">
        <f>'TTUHSCEP FGD'!$M11</f>
        <v>6114834</v>
      </c>
      <c r="W11" s="86">
        <f t="shared" ref="W11:W14" si="9">ROUND(V11/W$6,0)</f>
        <v>8293</v>
      </c>
      <c r="X11" s="284">
        <f>'AUSM FGD'!$M11</f>
        <v>2687263</v>
      </c>
      <c r="Y11" s="86"/>
      <c r="Z11" s="284">
        <f>'RGVM FGD'!$M11</f>
        <v>2925000</v>
      </c>
      <c r="AA11" s="86"/>
    </row>
    <row r="12" spans="1:27" ht="12.75" hidden="1" customHeight="1">
      <c r="A12" s="74" t="s">
        <v>1348</v>
      </c>
      <c r="B12" s="284"/>
      <c r="C12" s="86"/>
      <c r="D12" s="284"/>
      <c r="E12" s="86"/>
      <c r="F12" s="284"/>
      <c r="G12" s="86"/>
      <c r="H12" s="284"/>
      <c r="I12" s="86"/>
      <c r="J12" s="284"/>
      <c r="K12" s="86"/>
      <c r="L12" s="284"/>
      <c r="M12" s="86"/>
      <c r="N12" s="284"/>
      <c r="O12" s="86"/>
      <c r="P12" s="284"/>
      <c r="Q12" s="86"/>
      <c r="R12" s="284"/>
      <c r="S12" s="86"/>
      <c r="T12" s="284"/>
      <c r="U12" s="86"/>
      <c r="V12" s="284"/>
      <c r="W12" s="86"/>
      <c r="X12" s="284"/>
      <c r="Y12" s="86"/>
      <c r="Z12" s="284"/>
      <c r="AA12" s="86"/>
    </row>
    <row r="13" spans="1:27" ht="12.75" customHeight="1">
      <c r="A13" s="74" t="s">
        <v>1298</v>
      </c>
      <c r="B13" s="284">
        <f t="shared" si="0"/>
        <v>46698327</v>
      </c>
      <c r="C13" s="86">
        <f t="shared" si="1"/>
        <v>1691</v>
      </c>
      <c r="D13" s="284">
        <f>'SWM FGD'!$M13</f>
        <v>0</v>
      </c>
      <c r="E13" s="86">
        <f t="shared" si="2"/>
        <v>0</v>
      </c>
      <c r="F13" s="284">
        <f>'MBG FGD'!$M13</f>
        <v>0</v>
      </c>
      <c r="G13" s="86">
        <f t="shared" si="3"/>
        <v>0</v>
      </c>
      <c r="H13" s="284">
        <f>'HSH FGD'!$M13</f>
        <v>0</v>
      </c>
      <c r="I13" s="86">
        <f t="shared" si="4"/>
        <v>0</v>
      </c>
      <c r="J13" s="284">
        <f>'HSSA FGD'!$M13</f>
        <v>0</v>
      </c>
      <c r="K13" s="86">
        <f t="shared" si="5"/>
        <v>0</v>
      </c>
      <c r="L13" s="284">
        <f>'MDA FGD'!$M13</f>
        <v>0</v>
      </c>
      <c r="M13" s="86"/>
      <c r="N13" s="284">
        <f>'THC FGD'!$M13</f>
        <v>0</v>
      </c>
      <c r="O13" s="86"/>
      <c r="P13" s="284">
        <f>'TAMHSC FGD'!$M13</f>
        <v>0</v>
      </c>
      <c r="Q13" s="86">
        <f t="shared" si="6"/>
        <v>0</v>
      </c>
      <c r="R13" s="284">
        <f>'UNTHSC FGD'!$M13</f>
        <v>17091856</v>
      </c>
      <c r="S13" s="86">
        <f t="shared" si="7"/>
        <v>6026</v>
      </c>
      <c r="T13" s="284">
        <f>'TTUHSC FGD'!$M13</f>
        <v>23372396</v>
      </c>
      <c r="U13" s="86">
        <f t="shared" si="8"/>
        <v>4075</v>
      </c>
      <c r="V13" s="284">
        <f>'TTUHSCEP FGD'!$M13</f>
        <v>6234075</v>
      </c>
      <c r="W13" s="86">
        <f t="shared" si="9"/>
        <v>8455</v>
      </c>
      <c r="X13" s="284">
        <f>'AUSM FGD'!$M13</f>
        <v>0</v>
      </c>
      <c r="Y13" s="86"/>
      <c r="Z13" s="284">
        <f>'RGVM FGD'!$M13</f>
        <v>0</v>
      </c>
      <c r="AA13" s="86"/>
    </row>
    <row r="14" spans="1:27" ht="12.75" customHeight="1">
      <c r="A14" s="74" t="s">
        <v>46</v>
      </c>
      <c r="B14" s="284">
        <f t="shared" si="0"/>
        <v>43576597</v>
      </c>
      <c r="C14" s="86">
        <f t="shared" si="1"/>
        <v>1578</v>
      </c>
      <c r="D14" s="284">
        <f>'SWM FGD'!$M14</f>
        <v>0</v>
      </c>
      <c r="E14" s="86">
        <f t="shared" si="2"/>
        <v>0</v>
      </c>
      <c r="F14" s="284">
        <f>'MBG FGD'!$M14</f>
        <v>0</v>
      </c>
      <c r="G14" s="86">
        <f t="shared" si="3"/>
        <v>0</v>
      </c>
      <c r="H14" s="284">
        <f>'HSH FGD'!$M14</f>
        <v>0</v>
      </c>
      <c r="I14" s="86">
        <f t="shared" si="4"/>
        <v>0</v>
      </c>
      <c r="J14" s="284">
        <f>'HSSA FGD'!$M14</f>
        <v>0</v>
      </c>
      <c r="K14" s="86">
        <f t="shared" si="5"/>
        <v>0</v>
      </c>
      <c r="L14" s="284">
        <f>'MDA FGD'!$M14</f>
        <v>0</v>
      </c>
      <c r="M14" s="86"/>
      <c r="N14" s="284">
        <f>'THC FGD'!$M14</f>
        <v>0</v>
      </c>
      <c r="O14" s="86"/>
      <c r="P14" s="284">
        <f>'TAMHSC FGD'!$M14</f>
        <v>18599332</v>
      </c>
      <c r="Q14" s="86">
        <f t="shared" si="6"/>
        <v>5974</v>
      </c>
      <c r="R14" s="284">
        <f>'UNTHSC FGD'!$M14</f>
        <v>0</v>
      </c>
      <c r="S14" s="86">
        <f t="shared" si="7"/>
        <v>0</v>
      </c>
      <c r="T14" s="284">
        <f>'TTUHSC FGD'!$M14</f>
        <v>0</v>
      </c>
      <c r="U14" s="86">
        <f t="shared" si="8"/>
        <v>0</v>
      </c>
      <c r="V14" s="284">
        <f>'TTUHSCEP FGD'!$M14</f>
        <v>0</v>
      </c>
      <c r="W14" s="86">
        <f t="shared" si="9"/>
        <v>0</v>
      </c>
      <c r="X14" s="284">
        <f>'AUSM FGD'!$M14</f>
        <v>24977265</v>
      </c>
      <c r="Y14" s="86"/>
      <c r="Z14" s="284">
        <f>'RGVM FGD'!$M14</f>
        <v>0</v>
      </c>
      <c r="AA14" s="86"/>
    </row>
    <row r="15" spans="1:27" ht="12.75" customHeight="1">
      <c r="A15" s="87" t="s">
        <v>3</v>
      </c>
      <c r="B15" s="88">
        <f t="shared" ref="B15:E15" si="10">SUM(B10:B14)</f>
        <v>2016043236</v>
      </c>
      <c r="C15" s="88">
        <f t="shared" si="10"/>
        <v>73021</v>
      </c>
      <c r="D15" s="88">
        <f t="shared" si="10"/>
        <v>233159298</v>
      </c>
      <c r="E15" s="88">
        <f t="shared" si="10"/>
        <v>107611</v>
      </c>
      <c r="F15" s="88">
        <f t="shared" ref="F15:U15" si="11">SUM(F10:F14)</f>
        <v>380383100</v>
      </c>
      <c r="G15" s="88">
        <f t="shared" si="11"/>
        <v>102976</v>
      </c>
      <c r="H15" s="88">
        <f t="shared" si="11"/>
        <v>233613776</v>
      </c>
      <c r="I15" s="88">
        <f t="shared" si="11"/>
        <v>47794</v>
      </c>
      <c r="J15" s="88">
        <f t="shared" si="11"/>
        <v>184176527</v>
      </c>
      <c r="K15" s="88">
        <f t="shared" si="11"/>
        <v>48114</v>
      </c>
      <c r="L15" s="88">
        <f t="shared" si="11"/>
        <v>258497280</v>
      </c>
      <c r="M15" s="88">
        <f t="shared" si="11"/>
        <v>0</v>
      </c>
      <c r="N15" s="88">
        <f t="shared" si="11"/>
        <v>64528570</v>
      </c>
      <c r="O15" s="88">
        <f t="shared" si="11"/>
        <v>0</v>
      </c>
      <c r="P15" s="88">
        <f t="shared" si="11"/>
        <v>185992441</v>
      </c>
      <c r="Q15" s="88">
        <f t="shared" si="11"/>
        <v>59736</v>
      </c>
      <c r="R15" s="88">
        <f t="shared" si="11"/>
        <v>122999249</v>
      </c>
      <c r="S15" s="88">
        <f t="shared" si="11"/>
        <v>43367</v>
      </c>
      <c r="T15" s="88">
        <f t="shared" si="11"/>
        <v>201620004</v>
      </c>
      <c r="U15" s="88">
        <f t="shared" si="11"/>
        <v>35151</v>
      </c>
      <c r="V15" s="88">
        <f t="shared" ref="V15:Z15" si="12">SUM(V10:V14)</f>
        <v>88008374</v>
      </c>
      <c r="W15" s="88">
        <f t="shared" si="12"/>
        <v>119364</v>
      </c>
      <c r="X15" s="88">
        <f t="shared" si="12"/>
        <v>33735871</v>
      </c>
      <c r="Y15" s="88"/>
      <c r="Z15" s="88">
        <f t="shared" si="12"/>
        <v>29328746</v>
      </c>
      <c r="AA15" s="88"/>
    </row>
    <row r="16" spans="1:27">
      <c r="B16" s="91" t="str">
        <f>IF(B15&lt;&gt;'Smmy Sum'!B27,"Error","")</f>
        <v/>
      </c>
      <c r="C16" s="91" t="str">
        <f>IF(C15&lt;&gt;'Smmy Sum'!C27,"Error","")</f>
        <v/>
      </c>
      <c r="D16" s="91" t="str">
        <f>IF(D15&lt;&gt;'SWM FGD'!$M15,"Error","")</f>
        <v/>
      </c>
      <c r="E16" s="91" t="str">
        <f>IF(E15&lt;&gt;'SWM Sum'!$C15,"Error","")</f>
        <v/>
      </c>
      <c r="F16" s="91" t="str">
        <f>IF(F15&lt;&gt;'MBG FGD'!$M15,"Error","")</f>
        <v/>
      </c>
      <c r="G16" s="91" t="str">
        <f>IF(G15&lt;&gt;'MBG Sum'!$C15,"Error","")</f>
        <v/>
      </c>
      <c r="H16" s="91" t="str">
        <f>IF(H15&lt;&gt;'HSH FGD'!$M15,"Error","")</f>
        <v/>
      </c>
      <c r="I16" s="91" t="str">
        <f>IF(I15&lt;&gt;'HSH Sum'!$C15,"Error","")</f>
        <v/>
      </c>
      <c r="J16" s="91" t="str">
        <f>IF(J15&lt;&gt;'HSSA FGD'!$M15,"Error","")</f>
        <v/>
      </c>
      <c r="K16" s="91" t="str">
        <f>IF(K15&lt;&gt;'HSSA Sum'!$C15,"Error","")</f>
        <v/>
      </c>
      <c r="L16" s="91" t="str">
        <f>IF(L15&lt;&gt;'MDA FGD'!$M15,"Error","")</f>
        <v/>
      </c>
      <c r="M16" s="91" t="str">
        <f>IF(M15&lt;&gt;'MDA Sum'!$C15,"Error","")</f>
        <v/>
      </c>
      <c r="N16" s="91" t="str">
        <f>IF(N15&lt;&gt;'THC FGD'!$M15,"Error","")</f>
        <v/>
      </c>
      <c r="O16" s="91" t="str">
        <f>IF(O15&lt;&gt;'THC Sum'!$C15,"Error","")</f>
        <v/>
      </c>
      <c r="P16" s="91" t="str">
        <f>IF(P15&lt;&gt;'TAMHSC FGD'!$M15,"Error","")</f>
        <v/>
      </c>
      <c r="Q16" s="91" t="str">
        <f>IF(Q15&lt;&gt;'TAMHSC Sum'!$C15,"Error","")</f>
        <v/>
      </c>
      <c r="R16" s="91" t="str">
        <f>IF(R15&lt;&gt;'UNTHSC FGD'!$M15,"Error","")</f>
        <v/>
      </c>
      <c r="S16" s="91" t="str">
        <f>IF(S15&lt;&gt;'UNTHSC Sum'!$C15,"Error","")</f>
        <v/>
      </c>
      <c r="T16" s="91" t="str">
        <f>IF(T15&lt;&gt;'TTUHSC FGD'!$M15,"Error","")</f>
        <v/>
      </c>
      <c r="U16" s="91" t="str">
        <f>IF(U15&lt;&gt;'TTUHSC Sum'!$C15,"Error","")</f>
        <v/>
      </c>
      <c r="V16" s="91" t="str">
        <f>IF(V15&lt;&gt;'TTUHSCEP FGD'!$M15,"Error","")</f>
        <v/>
      </c>
      <c r="W16" s="91" t="str">
        <f>IF(W15&lt;&gt;'TTUHSCEP Sum'!$C15,"Error","")</f>
        <v/>
      </c>
      <c r="X16" s="91" t="str">
        <f>IF(X15&lt;&gt;'AUSM FGD'!$M15,"Error","")</f>
        <v/>
      </c>
      <c r="Y16" s="91"/>
      <c r="Z16" s="91" t="str">
        <f>IF(Z15&lt;&gt;'RGVM FGD'!$M15,"Error","")</f>
        <v/>
      </c>
      <c r="AA16" s="91"/>
    </row>
    <row r="17" spans="1:27">
      <c r="A17" s="78" t="s">
        <v>4</v>
      </c>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1:27">
      <c r="A18" s="296" t="s">
        <v>642</v>
      </c>
      <c r="B18" s="83">
        <f t="shared" ref="B18:B19" si="13">SUMIF(D$77:AA$77,$B$77,D18:AA18)</f>
        <v>265198654</v>
      </c>
      <c r="C18" s="83">
        <f>ROUND(B18/C$6,0)</f>
        <v>9606</v>
      </c>
      <c r="D18" s="284">
        <f>'SWM FGD'!$M23</f>
        <v>25276410</v>
      </c>
      <c r="E18" s="86">
        <f>ROUND(D18/E$6,0)</f>
        <v>11666</v>
      </c>
      <c r="F18" s="284">
        <f>'MBG FGD'!$M23</f>
        <v>35535330</v>
      </c>
      <c r="G18" s="86">
        <f>ROUND(F18/G$6,0)</f>
        <v>9620</v>
      </c>
      <c r="H18" s="284">
        <f>'HSH FGD'!$M23</f>
        <v>46301675</v>
      </c>
      <c r="I18" s="86">
        <f>ROUND(H18/I$6,0)</f>
        <v>9473</v>
      </c>
      <c r="J18" s="284">
        <f>'HSSA FGD'!$M23</f>
        <v>47884012</v>
      </c>
      <c r="K18" s="86">
        <f>ROUND(J18/K$6,0)</f>
        <v>12509</v>
      </c>
      <c r="L18" s="284">
        <f>'MDA FGD'!$M23</f>
        <v>999184</v>
      </c>
      <c r="M18" s="86"/>
      <c r="N18" s="284">
        <f>'THC FGD'!$M23</f>
        <v>154040</v>
      </c>
      <c r="O18" s="86"/>
      <c r="P18" s="284">
        <f>'TAMHSC FGD'!$M23</f>
        <v>27772438</v>
      </c>
      <c r="Q18" s="86">
        <f>ROUND(P18/Q$6,0)</f>
        <v>8920</v>
      </c>
      <c r="R18" s="284">
        <f>'UNTHSC FGD'!$M23</f>
        <v>23863362</v>
      </c>
      <c r="S18" s="86">
        <f>ROUND(R18/S$6,0)</f>
        <v>8414</v>
      </c>
      <c r="T18" s="284">
        <f>'TTUHSC FGD'!$M23</f>
        <v>45113381</v>
      </c>
      <c r="U18" s="86">
        <f>ROUND(T18/U$6,0)</f>
        <v>7865</v>
      </c>
      <c r="V18" s="284">
        <f>'TTUHSCEP FGD'!$M23</f>
        <v>8198724</v>
      </c>
      <c r="W18" s="86">
        <f>ROUND(V18/W$6,0)</f>
        <v>11120</v>
      </c>
      <c r="X18" s="284">
        <f>'AUSM FGD'!$M23</f>
        <v>2297617</v>
      </c>
      <c r="Y18" s="86"/>
      <c r="Z18" s="284">
        <f>'RGVM FGD'!$M23</f>
        <v>1802481</v>
      </c>
      <c r="AA18" s="86"/>
    </row>
    <row r="19" spans="1:27">
      <c r="A19" s="74" t="s">
        <v>1364</v>
      </c>
      <c r="B19" s="284">
        <f t="shared" si="13"/>
        <v>-21596418</v>
      </c>
      <c r="C19" s="86">
        <f t="shared" ref="C19" si="14">ROUND(B19/C$6,0)</f>
        <v>-782</v>
      </c>
      <c r="D19" s="284">
        <f>SUM('SWM FGD'!$M24:'SWM FGD'!$M28)</f>
        <v>-697815</v>
      </c>
      <c r="E19" s="86">
        <f>ROUND(D19/E$6,0)</f>
        <v>-322</v>
      </c>
      <c r="F19" s="284">
        <f>SUM('MBG FGD'!$M24:'MBG FGD'!$M28)</f>
        <v>-2445268</v>
      </c>
      <c r="G19" s="86">
        <f>ROUND(F19/G$6,0)</f>
        <v>-662</v>
      </c>
      <c r="H19" s="284">
        <f>SUM('HSH FGD'!$M24:'HSH FGD'!$M28)</f>
        <v>-1178467</v>
      </c>
      <c r="I19" s="86">
        <f>ROUND(H19/I$6,0)</f>
        <v>-241</v>
      </c>
      <c r="J19" s="284">
        <f>SUM('HSSA FGD'!$M24:'HSSA FGD'!$M28)</f>
        <v>-4276283</v>
      </c>
      <c r="K19" s="86">
        <f>ROUND(J19/K$6,0)</f>
        <v>-1117</v>
      </c>
      <c r="L19" s="284">
        <f>SUM('MDA FGD'!$M24:'MDA FGD'!$M28)</f>
        <v>-17848</v>
      </c>
      <c r="M19" s="86"/>
      <c r="N19" s="284">
        <f>SUM('THC FGD'!$M24:'THC FGD'!$M28)</f>
        <v>0</v>
      </c>
      <c r="O19" s="86"/>
      <c r="P19" s="284">
        <f>SUM('TAMHSC FGD'!$M24:'TAMHSC FGD'!$M28)</f>
        <v>-2492117</v>
      </c>
      <c r="Q19" s="86">
        <f>ROUND(P19/Q$6,0)</f>
        <v>-800</v>
      </c>
      <c r="R19" s="284">
        <f>SUM('UNTHSC FGD'!$M24:'UNTHSC FGD'!$M28)</f>
        <v>-2313156</v>
      </c>
      <c r="S19" s="86">
        <f>ROUND(R19/S$6,0)+1</f>
        <v>-815</v>
      </c>
      <c r="T19" s="284">
        <f>SUM('TTUHSC FGD'!$M24:'TTUHSC FGD'!$M28)</f>
        <v>-6333314</v>
      </c>
      <c r="U19" s="86">
        <f>ROUND(T19/U$6,0)</f>
        <v>-1104</v>
      </c>
      <c r="V19" s="284">
        <f>SUM('TTUHSCEP FGD'!$M24:'TTUHSCEP FGD'!$M28)</f>
        <v>-1624808</v>
      </c>
      <c r="W19" s="86">
        <f>ROUND(V19/W$6,0)</f>
        <v>-2204</v>
      </c>
      <c r="X19" s="284">
        <f>SUM('AUSM FGD'!$M24:'AUSM FGD'!$M28)</f>
        <v>-207731</v>
      </c>
      <c r="Y19" s="86"/>
      <c r="Z19" s="284">
        <f>SUM('RGVM FGD'!$M24:'RGVM FGD'!$M28)</f>
        <v>-9611</v>
      </c>
      <c r="AA19" s="86"/>
    </row>
    <row r="20" spans="1:27">
      <c r="A20" s="551" t="s">
        <v>37</v>
      </c>
      <c r="B20" s="370">
        <f t="shared" ref="B20:C20" si="15">B19+B18</f>
        <v>243602236</v>
      </c>
      <c r="C20" s="370">
        <f t="shared" si="15"/>
        <v>8824</v>
      </c>
      <c r="D20" s="370">
        <f t="shared" ref="D20:U20" si="16">D19+D18</f>
        <v>24578595</v>
      </c>
      <c r="E20" s="370">
        <f t="shared" si="16"/>
        <v>11344</v>
      </c>
      <c r="F20" s="370">
        <f t="shared" si="16"/>
        <v>33090062</v>
      </c>
      <c r="G20" s="370">
        <f t="shared" si="16"/>
        <v>8958</v>
      </c>
      <c r="H20" s="370">
        <f t="shared" si="16"/>
        <v>45123208</v>
      </c>
      <c r="I20" s="370">
        <f t="shared" si="16"/>
        <v>9232</v>
      </c>
      <c r="J20" s="370">
        <f t="shared" si="16"/>
        <v>43607729</v>
      </c>
      <c r="K20" s="370">
        <f t="shared" si="16"/>
        <v>11392</v>
      </c>
      <c r="L20" s="370">
        <f t="shared" si="16"/>
        <v>981336</v>
      </c>
      <c r="M20" s="370">
        <f t="shared" si="16"/>
        <v>0</v>
      </c>
      <c r="N20" s="370">
        <f t="shared" si="16"/>
        <v>154040</v>
      </c>
      <c r="O20" s="370">
        <f t="shared" si="16"/>
        <v>0</v>
      </c>
      <c r="P20" s="370">
        <f t="shared" si="16"/>
        <v>25280321</v>
      </c>
      <c r="Q20" s="370">
        <f t="shared" si="16"/>
        <v>8120</v>
      </c>
      <c r="R20" s="370">
        <f t="shared" si="16"/>
        <v>21550206</v>
      </c>
      <c r="S20" s="370">
        <f t="shared" si="16"/>
        <v>7599</v>
      </c>
      <c r="T20" s="370">
        <f t="shared" si="16"/>
        <v>38780067</v>
      </c>
      <c r="U20" s="370">
        <f t="shared" si="16"/>
        <v>6761</v>
      </c>
      <c r="V20" s="370">
        <f t="shared" ref="V20:Z20" si="17">V19+V18</f>
        <v>6573916</v>
      </c>
      <c r="W20" s="370">
        <f t="shared" si="17"/>
        <v>8916</v>
      </c>
      <c r="X20" s="370">
        <f t="shared" si="17"/>
        <v>2089886</v>
      </c>
      <c r="Y20" s="370"/>
      <c r="Z20" s="370">
        <f t="shared" si="17"/>
        <v>1792870</v>
      </c>
      <c r="AA20" s="370"/>
    </row>
    <row r="21" spans="1:27">
      <c r="A21" s="78"/>
      <c r="B21" s="284"/>
      <c r="C21" s="86"/>
      <c r="D21" s="284"/>
      <c r="E21" s="86"/>
      <c r="F21" s="284"/>
      <c r="G21" s="86"/>
      <c r="H21" s="284"/>
      <c r="I21" s="86"/>
      <c r="J21" s="284"/>
      <c r="K21" s="86"/>
      <c r="L21" s="284"/>
      <c r="M21" s="86"/>
      <c r="N21" s="284"/>
      <c r="O21" s="86"/>
      <c r="P21" s="284"/>
      <c r="Q21" s="86"/>
      <c r="R21" s="284"/>
      <c r="S21" s="86"/>
      <c r="T21" s="284"/>
      <c r="U21" s="86"/>
      <c r="V21" s="284"/>
      <c r="W21" s="86"/>
      <c r="X21" s="284"/>
      <c r="Y21" s="86"/>
      <c r="Z21" s="284"/>
      <c r="AA21" s="86"/>
    </row>
    <row r="22" spans="1:27">
      <c r="A22" s="296" t="s">
        <v>648</v>
      </c>
      <c r="B22" s="83">
        <f t="shared" ref="B22:B23" si="18">SUMIF(D$77:AA$77,$B$77,D22:AA22)</f>
        <v>66599472</v>
      </c>
      <c r="C22" s="83">
        <f>ROUND(B22/C$6,0)</f>
        <v>2412</v>
      </c>
      <c r="D22" s="284">
        <f>'SWM FGD'!$M36</f>
        <v>2634407</v>
      </c>
      <c r="E22" s="86">
        <f>ROUND(D22/E$6,0)</f>
        <v>1216</v>
      </c>
      <c r="F22" s="284">
        <f>'MBG FGD'!$M36</f>
        <v>8539896</v>
      </c>
      <c r="G22" s="86">
        <f>ROUND(F22/G$6,0)</f>
        <v>2312</v>
      </c>
      <c r="H22" s="284">
        <f>'HSH FGD'!$M36</f>
        <v>11794727</v>
      </c>
      <c r="I22" s="86">
        <f>ROUND(H22/I$6,0)</f>
        <v>2413</v>
      </c>
      <c r="J22" s="284">
        <f>'HSSA FGD'!$M36</f>
        <v>2815216</v>
      </c>
      <c r="K22" s="86">
        <f>ROUND(J22/K$6,0)</f>
        <v>735</v>
      </c>
      <c r="L22" s="284">
        <f>'MDA FGD'!$M36</f>
        <v>134722</v>
      </c>
      <c r="M22" s="86"/>
      <c r="N22" s="284">
        <f>'THC FGD'!$M36</f>
        <v>28927</v>
      </c>
      <c r="O22" s="86"/>
      <c r="P22" s="284">
        <f>'TAMHSC FGD'!$M36</f>
        <v>14139084</v>
      </c>
      <c r="Q22" s="86">
        <f>ROUND(P22/Q$6,0)</f>
        <v>4541</v>
      </c>
      <c r="R22" s="284">
        <f>'UNTHSC FGD'!$M36</f>
        <v>8683955</v>
      </c>
      <c r="S22" s="86">
        <f>ROUND(R22/S$6,0)</f>
        <v>3062</v>
      </c>
      <c r="T22" s="284">
        <f>'TTUHSC FGD'!$M36</f>
        <v>14189019</v>
      </c>
      <c r="U22" s="86">
        <f>ROUND(T22/U$6,0)</f>
        <v>2474</v>
      </c>
      <c r="V22" s="284">
        <f>'TTUHSCEP FGD'!$M36</f>
        <v>2611631</v>
      </c>
      <c r="W22" s="86">
        <f>ROUND(V22/W$6,0)</f>
        <v>3542</v>
      </c>
      <c r="X22" s="284">
        <f>'AUSM FGD'!$M36</f>
        <v>574247</v>
      </c>
      <c r="Y22" s="86"/>
      <c r="Z22" s="284">
        <f>'RGVM FGD'!$M36</f>
        <v>453641</v>
      </c>
      <c r="AA22" s="86"/>
    </row>
    <row r="23" spans="1:27">
      <c r="A23" s="74" t="s">
        <v>1364</v>
      </c>
      <c r="B23" s="284">
        <f t="shared" si="18"/>
        <v>-4195929</v>
      </c>
      <c r="C23" s="86">
        <f t="shared" ref="C23" si="19">ROUND(B23/C$6,0)</f>
        <v>-152</v>
      </c>
      <c r="D23" s="284">
        <f>SUM('SWM FGD'!$M37:'SWM FGD'!$M41)</f>
        <v>-185473</v>
      </c>
      <c r="E23" s="86">
        <f>ROUND(D23/E$6,0)</f>
        <v>-86</v>
      </c>
      <c r="F23" s="284">
        <f>SUM('MBG FGD'!$M37:'MBG FGD'!$M41)</f>
        <v>-260996</v>
      </c>
      <c r="G23" s="86">
        <f>ROUND(F23/G$6,0)</f>
        <v>-71</v>
      </c>
      <c r="H23" s="284">
        <f>SUM('HSH FGD'!$M37:'HSH FGD'!$M41)</f>
        <v>-280993</v>
      </c>
      <c r="I23" s="86">
        <f>ROUND(H23/I$6,0)</f>
        <v>-57</v>
      </c>
      <c r="J23" s="284">
        <f>SUM('HSSA FGD'!$M37:'HSSA FGD'!$M41)</f>
        <v>-475142</v>
      </c>
      <c r="K23" s="86">
        <f>ROUND(J23/K$6,0)</f>
        <v>-124</v>
      </c>
      <c r="L23" s="284">
        <f>SUM('MDA FGD'!$M37:'MDA FGD'!$M41)</f>
        <v>-2573</v>
      </c>
      <c r="M23" s="86"/>
      <c r="N23" s="284">
        <f>SUM('THC FGD'!$M37:'THC FGD'!$M41)</f>
        <v>0</v>
      </c>
      <c r="O23" s="86"/>
      <c r="P23" s="284">
        <f>SUM('TAMHSC FGD'!$M37:'TAMHSC FGD'!$M41)</f>
        <v>-1268749</v>
      </c>
      <c r="Q23" s="86">
        <f>ROUND(P23/Q$6,0)</f>
        <v>-407</v>
      </c>
      <c r="R23" s="284">
        <f>SUM('UNTHSC FGD'!$M37:'UNTHSC FGD'!$M41)</f>
        <v>-423279</v>
      </c>
      <c r="S23" s="86">
        <f>ROUND(R23/S$6,0)</f>
        <v>-149</v>
      </c>
      <c r="T23" s="284">
        <f>SUM('TTUHSC FGD'!$M37:'TTUHSC FGD'!$M41)</f>
        <v>-978275</v>
      </c>
      <c r="U23" s="86">
        <f>ROUND(T23/U$6,0)+1</f>
        <v>-170</v>
      </c>
      <c r="V23" s="284">
        <f>SUM('TTUHSCEP FGD'!$M37:'TTUHSCEP FGD'!$M41)</f>
        <v>-193977</v>
      </c>
      <c r="W23" s="86">
        <f>ROUND(V23/W$6,0)+1</f>
        <v>-262</v>
      </c>
      <c r="X23" s="284">
        <f>SUM('AUSM FGD'!$M37:'AUSM FGD'!$M41)</f>
        <v>-126472</v>
      </c>
      <c r="Y23" s="86"/>
      <c r="Z23" s="284">
        <f>SUM('RGVM FGD'!$M37:'RGVM FGD'!$M41)</f>
        <v>0</v>
      </c>
      <c r="AA23" s="86"/>
    </row>
    <row r="24" spans="1:27">
      <c r="A24" s="551" t="s">
        <v>38</v>
      </c>
      <c r="B24" s="370">
        <f t="shared" ref="B24:C24" si="20">B23+B22</f>
        <v>62403543</v>
      </c>
      <c r="C24" s="370">
        <f t="shared" si="20"/>
        <v>2260</v>
      </c>
      <c r="D24" s="370">
        <f t="shared" ref="D24:U24" si="21">D23+D22</f>
        <v>2448934</v>
      </c>
      <c r="E24" s="370">
        <f t="shared" si="21"/>
        <v>1130</v>
      </c>
      <c r="F24" s="370">
        <f t="shared" si="21"/>
        <v>8278900</v>
      </c>
      <c r="G24" s="370">
        <f t="shared" si="21"/>
        <v>2241</v>
      </c>
      <c r="H24" s="370">
        <f t="shared" si="21"/>
        <v>11513734</v>
      </c>
      <c r="I24" s="370">
        <f t="shared" si="21"/>
        <v>2356</v>
      </c>
      <c r="J24" s="370">
        <f t="shared" si="21"/>
        <v>2340074</v>
      </c>
      <c r="K24" s="370">
        <f t="shared" si="21"/>
        <v>611</v>
      </c>
      <c r="L24" s="370">
        <f t="shared" si="21"/>
        <v>132149</v>
      </c>
      <c r="M24" s="370">
        <f t="shared" si="21"/>
        <v>0</v>
      </c>
      <c r="N24" s="370">
        <f t="shared" si="21"/>
        <v>28927</v>
      </c>
      <c r="O24" s="370">
        <f t="shared" si="21"/>
        <v>0</v>
      </c>
      <c r="P24" s="370">
        <f t="shared" si="21"/>
        <v>12870335</v>
      </c>
      <c r="Q24" s="370">
        <f t="shared" si="21"/>
        <v>4134</v>
      </c>
      <c r="R24" s="370">
        <f t="shared" si="21"/>
        <v>8260676</v>
      </c>
      <c r="S24" s="370">
        <f t="shared" si="21"/>
        <v>2913</v>
      </c>
      <c r="T24" s="370">
        <f t="shared" si="21"/>
        <v>13210744</v>
      </c>
      <c r="U24" s="370">
        <f t="shared" si="21"/>
        <v>2304</v>
      </c>
      <c r="V24" s="370">
        <f t="shared" ref="V24:Z24" si="22">V23+V22</f>
        <v>2417654</v>
      </c>
      <c r="W24" s="370">
        <f t="shared" si="22"/>
        <v>3280</v>
      </c>
      <c r="X24" s="370">
        <f t="shared" si="22"/>
        <v>447775</v>
      </c>
      <c r="Y24" s="370"/>
      <c r="Z24" s="370">
        <f t="shared" si="22"/>
        <v>453641</v>
      </c>
      <c r="AA24" s="370"/>
    </row>
    <row r="25" spans="1:27">
      <c r="A25" s="78"/>
      <c r="B25" s="284"/>
      <c r="C25" s="86"/>
      <c r="D25" s="284"/>
      <c r="E25" s="86"/>
      <c r="F25" s="284"/>
      <c r="G25" s="86"/>
      <c r="H25" s="284"/>
      <c r="I25" s="86"/>
      <c r="J25" s="284"/>
      <c r="K25" s="86"/>
      <c r="L25" s="284"/>
      <c r="M25" s="86"/>
      <c r="N25" s="284"/>
      <c r="O25" s="86"/>
      <c r="P25" s="284"/>
      <c r="Q25" s="86"/>
      <c r="R25" s="284"/>
      <c r="S25" s="86"/>
      <c r="T25" s="284"/>
      <c r="U25" s="86"/>
      <c r="V25" s="284"/>
      <c r="W25" s="86"/>
      <c r="X25" s="284"/>
      <c r="Y25" s="86"/>
      <c r="Z25" s="284"/>
      <c r="AA25" s="86"/>
    </row>
    <row r="26" spans="1:27">
      <c r="A26" s="804" t="s">
        <v>1189</v>
      </c>
      <c r="B26" s="370">
        <f t="shared" ref="B26:C26" si="23">B24+B20</f>
        <v>306005779</v>
      </c>
      <c r="C26" s="370">
        <f t="shared" si="23"/>
        <v>11084</v>
      </c>
      <c r="D26" s="370">
        <f t="shared" ref="D26:T26" si="24">D24+D20</f>
        <v>27027529</v>
      </c>
      <c r="E26" s="370">
        <f>E24+E20</f>
        <v>12474</v>
      </c>
      <c r="F26" s="370">
        <f t="shared" si="24"/>
        <v>41368962</v>
      </c>
      <c r="G26" s="370">
        <f t="shared" si="24"/>
        <v>11199</v>
      </c>
      <c r="H26" s="370">
        <f t="shared" si="24"/>
        <v>56636942</v>
      </c>
      <c r="I26" s="370">
        <f>I24+I20</f>
        <v>11588</v>
      </c>
      <c r="J26" s="370">
        <f t="shared" si="24"/>
        <v>45947803</v>
      </c>
      <c r="K26" s="370">
        <f>K24+K20</f>
        <v>12003</v>
      </c>
      <c r="L26" s="370">
        <f t="shared" si="24"/>
        <v>1113485</v>
      </c>
      <c r="M26" s="370">
        <f t="shared" si="24"/>
        <v>0</v>
      </c>
      <c r="N26" s="370">
        <f t="shared" si="24"/>
        <v>182967</v>
      </c>
      <c r="O26" s="370">
        <f t="shared" si="24"/>
        <v>0</v>
      </c>
      <c r="P26" s="370">
        <f t="shared" si="24"/>
        <v>38150656</v>
      </c>
      <c r="Q26" s="370">
        <f>Q24+Q20-1</f>
        <v>12253</v>
      </c>
      <c r="R26" s="370">
        <f t="shared" si="24"/>
        <v>29810882</v>
      </c>
      <c r="S26" s="370">
        <f>S24+S20-1</f>
        <v>10511</v>
      </c>
      <c r="T26" s="370">
        <f t="shared" si="24"/>
        <v>51990811</v>
      </c>
      <c r="U26" s="370">
        <f>U24+U20-1</f>
        <v>9064</v>
      </c>
      <c r="V26" s="370">
        <f t="shared" ref="V26:Z26" si="25">V24+V20</f>
        <v>8991570</v>
      </c>
      <c r="W26" s="370">
        <f>W24+W20-1</f>
        <v>12195</v>
      </c>
      <c r="X26" s="370">
        <f t="shared" si="25"/>
        <v>2537661</v>
      </c>
      <c r="Y26" s="370"/>
      <c r="Z26" s="370">
        <f t="shared" si="25"/>
        <v>2246511</v>
      </c>
      <c r="AA26" s="370"/>
    </row>
    <row r="27" spans="1:27">
      <c r="B27" s="91" t="str">
        <f>IF(B26&lt;&gt;'Smmy Sum'!B32,"Error","")</f>
        <v/>
      </c>
      <c r="C27" s="91"/>
      <c r="D27" s="805" t="str">
        <f>IF(D26&lt;&gt;'SWM FGD'!$M44,"Error","")</f>
        <v/>
      </c>
      <c r="E27" s="805" t="str">
        <f>IF(E26&lt;&gt;'SWM Sum'!$C20,"Error","")</f>
        <v/>
      </c>
      <c r="F27" s="805" t="str">
        <f>IF(F26&lt;&gt;'MBG FGD'!$M44,"Error","")</f>
        <v/>
      </c>
      <c r="G27" s="805" t="str">
        <f>IF(G26&lt;&gt;'MBG Sum'!$C20,"Error","")</f>
        <v/>
      </c>
      <c r="H27" s="805" t="str">
        <f>IF(H26&lt;&gt;'HSH FGD'!$M44,"Error","")</f>
        <v/>
      </c>
      <c r="I27" s="805" t="str">
        <f>IF(I26&lt;&gt;'HSH Sum'!$C20,"Error","")</f>
        <v/>
      </c>
      <c r="J27" s="805" t="str">
        <f>IF(J26&lt;&gt;'HSSA FGD'!$M44,"Error","")</f>
        <v/>
      </c>
      <c r="K27" s="805" t="str">
        <f>IF(K26&lt;&gt;'HSSA Sum'!$C20,"Error","")</f>
        <v/>
      </c>
      <c r="L27" s="805" t="str">
        <f>IF(L26&lt;&gt;'MDA FGD'!$M44,"Error","")</f>
        <v/>
      </c>
      <c r="M27" s="805" t="str">
        <f>IF(M26&lt;&gt;'MDA Sum'!$C20,"Error","")</f>
        <v/>
      </c>
      <c r="N27" s="805" t="str">
        <f>IF(N26&lt;&gt;'THC FGD'!$M44,"Error","")</f>
        <v/>
      </c>
      <c r="O27" s="805" t="str">
        <f>IF(O26&lt;&gt;'THC Sum'!$C20,"Error","")</f>
        <v/>
      </c>
      <c r="P27" s="805" t="str">
        <f>IF(P26&lt;&gt;'TAMHSC FGD'!$M44,"Error","")</f>
        <v/>
      </c>
      <c r="Q27" s="805" t="str">
        <f>IF(Q26&lt;&gt;'TAMHSC Sum'!$C20,"Error","")</f>
        <v/>
      </c>
      <c r="R27" s="805" t="str">
        <f>IF(R26&lt;&gt;'UNTHSC FGD'!$M44,"Error","")</f>
        <v/>
      </c>
      <c r="S27" s="805" t="str">
        <f>IF(S26&lt;&gt;'UNTHSC Sum'!$C20,"Error","")</f>
        <v/>
      </c>
      <c r="T27" s="805" t="str">
        <f>IF(T26&lt;&gt;'TTUHSC FGD'!$M44,"Error","")</f>
        <v/>
      </c>
      <c r="U27" s="805" t="str">
        <f>IF(U26&lt;&gt;'TTUHSC Sum'!$C20,"Error","")</f>
        <v/>
      </c>
      <c r="V27" s="805" t="str">
        <f>IF(V26&lt;&gt;'TTUHSCEP FGD'!$M44,"Error","")</f>
        <v/>
      </c>
      <c r="W27" s="805" t="str">
        <f>IF(W26&lt;&gt;'TTUHSCEP Sum'!$C20,"Error","")</f>
        <v/>
      </c>
      <c r="X27" s="805" t="str">
        <f>IF(X26&lt;&gt;'AUSM FGD'!$M44,"Error","")</f>
        <v/>
      </c>
      <c r="Y27" s="805"/>
      <c r="Z27" s="805" t="str">
        <f>IF(Z26&lt;&gt;'RGVM FGD'!$M44,"Error","")</f>
        <v/>
      </c>
      <c r="AA27" s="805"/>
    </row>
    <row r="28" spans="1:27">
      <c r="A28" s="78" t="s">
        <v>6</v>
      </c>
      <c r="B28" s="285"/>
      <c r="D28" s="285"/>
      <c r="F28" s="285"/>
      <c r="H28" s="285"/>
      <c r="J28" s="285"/>
      <c r="L28" s="285"/>
      <c r="N28" s="285"/>
      <c r="P28" s="285"/>
      <c r="R28" s="285"/>
      <c r="T28" s="285"/>
      <c r="V28" s="285"/>
      <c r="X28" s="285"/>
      <c r="Z28" s="285"/>
    </row>
    <row r="29" spans="1:27">
      <c r="A29" s="87" t="s">
        <v>7</v>
      </c>
      <c r="B29" s="140">
        <f>SUMIF(D$77:AA$77,$B$77,D29:AA29)</f>
        <v>892704561</v>
      </c>
      <c r="C29" s="88"/>
      <c r="D29" s="140">
        <f>'SWM FGD'!$M47</f>
        <v>201008263</v>
      </c>
      <c r="E29" s="88"/>
      <c r="F29" s="140">
        <f>'MBG FGD'!$M47</f>
        <v>129743832</v>
      </c>
      <c r="G29" s="88"/>
      <c r="H29" s="140">
        <f>'HSH FGD'!$M47</f>
        <v>156372343</v>
      </c>
      <c r="I29" s="88"/>
      <c r="J29" s="140">
        <f>'HSSA FGD'!$M47</f>
        <v>103703491</v>
      </c>
      <c r="K29" s="88"/>
      <c r="L29" s="140">
        <f>'MDA FGD'!$M47</f>
        <v>175307623</v>
      </c>
      <c r="M29" s="88"/>
      <c r="N29" s="140">
        <f>'THC FGD'!$M47</f>
        <v>10226513</v>
      </c>
      <c r="O29" s="88"/>
      <c r="P29" s="140">
        <f>'TAMHSC FGD'!$M47</f>
        <v>42170209</v>
      </c>
      <c r="Q29" s="88"/>
      <c r="R29" s="140">
        <f>'UNTHSC FGD'!$M47</f>
        <v>37000670</v>
      </c>
      <c r="S29" s="88"/>
      <c r="T29" s="140">
        <f>'TTUHSC FGD'!$M47</f>
        <v>19599396</v>
      </c>
      <c r="U29" s="88"/>
      <c r="V29" s="140">
        <f>'TTUHSCEP FGD'!$M47</f>
        <v>3784539</v>
      </c>
      <c r="W29" s="88"/>
      <c r="X29" s="140">
        <f>'AUSM FGD'!$M47</f>
        <v>9489928</v>
      </c>
      <c r="Y29" s="88"/>
      <c r="Z29" s="140">
        <f>'RGVM FGD'!$M47</f>
        <v>4297754</v>
      </c>
      <c r="AA29" s="88"/>
    </row>
    <row r="30" spans="1:27">
      <c r="B30" s="91" t="str">
        <f>IF(B29&lt;&gt;'Smmy Sum'!B35,"Error","")</f>
        <v/>
      </c>
      <c r="C30" s="91"/>
      <c r="D30" s="91" t="str">
        <f>IF(D29&lt;&gt;'SWM FGD'!$M47,"Error","")</f>
        <v/>
      </c>
      <c r="E30" s="91"/>
      <c r="F30" s="91" t="str">
        <f>IF(F29&lt;&gt;'MBG FGD'!$M47,"Error","")</f>
        <v/>
      </c>
      <c r="G30" s="91"/>
      <c r="H30" s="91" t="str">
        <f>IF(H29&lt;&gt;'HSH FGD'!$M47,"Error","")</f>
        <v/>
      </c>
      <c r="I30" s="91"/>
      <c r="J30" s="91" t="str">
        <f>IF(J29&lt;&gt;'HSSA FGD'!$M47,"Error","")</f>
        <v/>
      </c>
      <c r="K30" s="91"/>
      <c r="L30" s="91" t="str">
        <f>IF(L29&lt;&gt;'MDA FGD'!$M47,"Error","")</f>
        <v/>
      </c>
      <c r="M30" s="91" t="str">
        <f>IF(M29&lt;&gt;'MDA Sum'!$C23,"Error","")</f>
        <v/>
      </c>
      <c r="N30" s="91" t="str">
        <f>IF(N29&lt;&gt;'THC FGD'!$M47,"Error","")</f>
        <v/>
      </c>
      <c r="O30" s="91" t="str">
        <f>IF(O29&lt;&gt;'THC Sum'!$C31,"Error","")</f>
        <v/>
      </c>
      <c r="P30" s="91" t="str">
        <f>IF(P29&lt;&gt;'TAMHSC FGD'!$M47,"Error","")</f>
        <v/>
      </c>
      <c r="Q30" s="91"/>
      <c r="R30" s="91" t="str">
        <f>IF(R29&lt;&gt;'UNTHSC FGD'!$M47,"Error","")</f>
        <v/>
      </c>
      <c r="S30" s="91"/>
      <c r="T30" s="91" t="str">
        <f>IF(T29&lt;&gt;'TTUHSC FGD'!$M47,"Error","")</f>
        <v/>
      </c>
      <c r="U30" s="91"/>
      <c r="V30" s="91" t="str">
        <f>IF(V29&lt;&gt;'TTUHSCEP FGD'!$M47,"Error","")</f>
        <v/>
      </c>
      <c r="W30" s="91"/>
      <c r="X30" s="91" t="str">
        <f>IF(X29&lt;&gt;'AUSM FGD'!$M47,"Error","")</f>
        <v/>
      </c>
      <c r="Y30" s="91"/>
      <c r="Z30" s="91" t="str">
        <f>IF(Z29&lt;&gt;'RGVM FGD'!$M47,"Error","")</f>
        <v/>
      </c>
      <c r="AA30" s="91"/>
    </row>
    <row r="31" spans="1:27">
      <c r="A31" s="78" t="s">
        <v>57</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row>
    <row r="32" spans="1:27" s="140" customFormat="1">
      <c r="A32" s="140" t="s">
        <v>56</v>
      </c>
      <c r="B32" s="140">
        <f>SUMIF(D$77:AA$77,$B$77,D32:AA32)</f>
        <v>2167265544</v>
      </c>
      <c r="C32" s="88"/>
      <c r="D32" s="291">
        <f>'SWM FGD'!$M50</f>
        <v>665714950</v>
      </c>
      <c r="E32" s="88"/>
      <c r="F32" s="291">
        <f>'MBG FGD'!$M50</f>
        <v>199548093</v>
      </c>
      <c r="G32" s="88"/>
      <c r="H32" s="291">
        <f>'HSH FGD'!$M50</f>
        <v>368873422</v>
      </c>
      <c r="I32" s="88"/>
      <c r="J32" s="291">
        <f>'HSSA FGD'!$M50</f>
        <v>216393102</v>
      </c>
      <c r="K32" s="88"/>
      <c r="L32" s="291">
        <f>'MDA FGD'!$M50</f>
        <v>403758919</v>
      </c>
      <c r="M32" s="88"/>
      <c r="N32" s="291">
        <f>'THC FGD'!$M50</f>
        <v>17429053</v>
      </c>
      <c r="O32" s="88"/>
      <c r="P32" s="291">
        <f>'TAMHSC FGD'!$M50</f>
        <v>0</v>
      </c>
      <c r="Q32" s="88"/>
      <c r="R32" s="291">
        <f>'UNTHSC FGD'!$M50</f>
        <v>15378723</v>
      </c>
      <c r="S32" s="88"/>
      <c r="T32" s="291">
        <f>'TTUHSC FGD'!$M50</f>
        <v>221537779</v>
      </c>
      <c r="U32" s="88"/>
      <c r="V32" s="291">
        <f>'TTUHSCEP FGD'!$M50</f>
        <v>51823292</v>
      </c>
      <c r="W32" s="88"/>
      <c r="X32" s="291">
        <f>'AUSM FGD'!$M50</f>
        <v>2343886</v>
      </c>
      <c r="Y32" s="88"/>
      <c r="Z32" s="291">
        <f>'RGVM FGD'!$M50</f>
        <v>4464325</v>
      </c>
      <c r="AA32" s="88"/>
    </row>
    <row r="33" spans="1:38">
      <c r="B33" s="91" t="str">
        <f>IF(B32&lt;&gt;'Smmy Sum'!B38,"Error","")</f>
        <v/>
      </c>
      <c r="C33" s="91"/>
      <c r="D33" s="91" t="str">
        <f>IF(D32&lt;&gt;'SWM FGD'!$M50,"Error","")</f>
        <v/>
      </c>
      <c r="E33" s="91"/>
      <c r="F33" s="91" t="str">
        <f>IF(F32&lt;&gt;'MBG FGD'!$M50,"Error","")</f>
        <v/>
      </c>
      <c r="G33" s="91"/>
      <c r="H33" s="91" t="str">
        <f>IF(H32&lt;&gt;'HSH FGD'!$M50,"Error","")</f>
        <v/>
      </c>
      <c r="I33" s="91"/>
      <c r="J33" s="91" t="str">
        <f>IF(J32&lt;&gt;'HSSA FGD'!$M50,"Error","")</f>
        <v/>
      </c>
      <c r="K33" s="91"/>
      <c r="L33" s="91" t="str">
        <f>IF(L32&lt;&gt;'MDA FGD'!$M50,"Error","")</f>
        <v/>
      </c>
      <c r="M33" s="91" t="str">
        <f>IF(M32&lt;&gt;'MDA Sum'!$C26,"Error","")</f>
        <v/>
      </c>
      <c r="N33" s="91" t="str">
        <f>IF(N32&lt;&gt;'THC FGD'!$M50,"Error","")</f>
        <v/>
      </c>
      <c r="O33" s="91" t="str">
        <f>IF(O32&lt;&gt;'THC Sum'!$C34,"Error","")</f>
        <v/>
      </c>
      <c r="P33" s="91" t="str">
        <f>IF(P32&lt;&gt;'TAMHSC FGD'!$M50,"Error","")</f>
        <v/>
      </c>
      <c r="Q33" s="91"/>
      <c r="R33" s="91" t="str">
        <f>IF(R32&lt;&gt;'UNTHSC FGD'!$M50,"Error","")</f>
        <v/>
      </c>
      <c r="S33" s="91"/>
      <c r="T33" s="91" t="str">
        <f>IF(T32&lt;&gt;'TTUHSC FGD'!$M50,"Error","")</f>
        <v/>
      </c>
      <c r="U33" s="91"/>
      <c r="V33" s="91" t="str">
        <f>IF(V32&lt;&gt;'TTUHSCEP FGD'!$M50,"Error","")</f>
        <v/>
      </c>
      <c r="W33" s="91"/>
      <c r="X33" s="91" t="str">
        <f>IF(X32&lt;&gt;'AUSM FGD'!$M50,"Error","")</f>
        <v/>
      </c>
      <c r="Y33" s="91"/>
      <c r="Z33" s="91" t="str">
        <f>IF(Z32&lt;&gt;'RGVM FGD'!$M50,"Error","")</f>
        <v/>
      </c>
      <c r="AA33" s="91"/>
    </row>
    <row r="34" spans="1:38">
      <c r="A34" s="78" t="s">
        <v>55</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row>
    <row r="35" spans="1:38" s="140" customFormat="1">
      <c r="A35" s="140" t="s">
        <v>56</v>
      </c>
      <c r="B35" s="140">
        <f>SUMIF(D$77:AA$77,$B$77,D35:AA35)</f>
        <v>6317449622</v>
      </c>
      <c r="C35" s="88"/>
      <c r="D35" s="291">
        <f>'SWM FGD'!$M53</f>
        <v>1308148971</v>
      </c>
      <c r="E35" s="88"/>
      <c r="F35" s="291">
        <f>'MBG FGD'!$M53</f>
        <v>1194433196</v>
      </c>
      <c r="G35" s="88"/>
      <c r="H35" s="291">
        <f>'HSH FGD'!$M53</f>
        <v>71985820</v>
      </c>
      <c r="I35" s="88"/>
      <c r="J35" s="291">
        <f>'HSSA FGD'!$M53</f>
        <v>0</v>
      </c>
      <c r="K35" s="88"/>
      <c r="L35" s="291">
        <f>'MDA FGD'!$M53</f>
        <v>3680395600</v>
      </c>
      <c r="M35" s="88"/>
      <c r="N35" s="291">
        <f>'THC FGD'!$M53</f>
        <v>62486035</v>
      </c>
      <c r="O35" s="88"/>
      <c r="P35" s="291">
        <f>'TAMHSC FGD'!$M53</f>
        <v>0</v>
      </c>
      <c r="Q35" s="88"/>
      <c r="R35" s="291">
        <f>'UNTHSC FGD'!$M53</f>
        <v>0</v>
      </c>
      <c r="S35" s="88"/>
      <c r="T35" s="291">
        <f>'TTUHSC FGD'!$M53</f>
        <v>0</v>
      </c>
      <c r="U35" s="88"/>
      <c r="V35" s="291">
        <f>'TTUHSCEP FGD'!$M53</f>
        <v>0</v>
      </c>
      <c r="W35" s="88"/>
      <c r="X35" s="291">
        <f>'AUSM FGD'!$M53</f>
        <v>0</v>
      </c>
      <c r="Y35" s="88"/>
      <c r="Z35" s="291">
        <f>'RGVM FGD'!$M53</f>
        <v>0</v>
      </c>
      <c r="AA35" s="88"/>
    </row>
    <row r="36" spans="1:38">
      <c r="B36" s="91" t="str">
        <f>IF(B35&lt;&gt;'Smmy Sum'!B41,"Error","")</f>
        <v/>
      </c>
      <c r="C36" s="91"/>
      <c r="D36" s="91" t="str">
        <f>IF(D35&lt;&gt;'SWM FGD'!$M53,"Error","")</f>
        <v/>
      </c>
      <c r="E36" s="91"/>
      <c r="F36" s="91" t="str">
        <f>IF(F35&lt;&gt;'MBG FGD'!$M53,"Error","")</f>
        <v/>
      </c>
      <c r="G36" s="91"/>
      <c r="H36" s="91" t="str">
        <f>IF(H35&lt;&gt;'HSH FGD'!$M53,"Error","")</f>
        <v/>
      </c>
      <c r="I36" s="91"/>
      <c r="J36" s="91" t="str">
        <f>IF(J35&lt;&gt;'HSSA FGD'!$M53,"Error","")</f>
        <v/>
      </c>
      <c r="K36" s="91" t="str">
        <f>IF(K35&lt;&gt;'HSSA Sum'!$C29,"Error","")</f>
        <v/>
      </c>
      <c r="L36" s="91" t="str">
        <f>IF(L35&lt;&gt;'MDA FGD'!$M53,"Error","")</f>
        <v/>
      </c>
      <c r="M36" s="91" t="str">
        <f>IF(M35&lt;&gt;'MDA Sum'!$C29,"Error","")</f>
        <v/>
      </c>
      <c r="N36" s="91" t="str">
        <f>IF(N35&lt;&gt;'THC FGD'!$M53,"Error","")</f>
        <v/>
      </c>
      <c r="O36" s="91" t="str">
        <f>IF(O35&lt;&gt;'THC Sum'!$C37,"Error","")</f>
        <v/>
      </c>
      <c r="P36" s="91" t="str">
        <f>IF(P35&lt;&gt;'TAMHSC FGD'!$M53,"Error","")</f>
        <v/>
      </c>
      <c r="Q36" s="91"/>
      <c r="R36" s="91" t="str">
        <f>IF(R35&lt;&gt;'UNTHSC FGD'!$M53,"Error","")</f>
        <v/>
      </c>
      <c r="S36" s="91"/>
      <c r="T36" s="91" t="str">
        <f>IF(T35&lt;&gt;'TTUHSC FGD'!$M53,"Error","")</f>
        <v/>
      </c>
      <c r="U36" s="91"/>
      <c r="V36" s="91" t="str">
        <f>IF(V35&lt;&gt;'TTUHSCEP FGD'!$M53,"Error","")</f>
        <v/>
      </c>
      <c r="W36" s="91"/>
      <c r="X36" s="91" t="str">
        <f>IF(X35&lt;&gt;'AUSM FGD'!$M53,"Error","")</f>
        <v/>
      </c>
      <c r="Y36" s="91"/>
      <c r="Z36" s="91" t="str">
        <f>IF(Z35&lt;&gt;'RGVM FGD'!$M53,"Error","")</f>
        <v/>
      </c>
      <c r="AA36" s="91"/>
    </row>
    <row r="37" spans="1:38">
      <c r="A37" s="78" t="s">
        <v>8</v>
      </c>
      <c r="B37" s="285"/>
      <c r="D37" s="285"/>
      <c r="F37" s="285"/>
      <c r="H37" s="285"/>
      <c r="J37" s="285"/>
      <c r="L37" s="285"/>
      <c r="N37" s="285"/>
      <c r="P37" s="285"/>
      <c r="R37" s="285"/>
      <c r="T37" s="285"/>
      <c r="V37" s="285"/>
      <c r="X37" s="285"/>
      <c r="Z37" s="285"/>
    </row>
    <row r="38" spans="1:38">
      <c r="A38" s="74" t="s">
        <v>40</v>
      </c>
      <c r="B38" s="83">
        <f t="shared" ref="B38:B43" si="26">SUMIF(D$77:AA$77,$B$77,D38:AA38)</f>
        <v>544285096</v>
      </c>
      <c r="C38" s="83"/>
      <c r="D38" s="83">
        <f>'SWM FGD'!$M56</f>
        <v>133254944</v>
      </c>
      <c r="E38" s="83"/>
      <c r="F38" s="83">
        <f>'MBG FGD'!$M56</f>
        <v>60349285</v>
      </c>
      <c r="G38" s="83"/>
      <c r="H38" s="83">
        <f>'HSH FGD'!$M56</f>
        <v>57171456</v>
      </c>
      <c r="I38" s="83"/>
      <c r="J38" s="83">
        <f>'HSSA FGD'!$M56</f>
        <v>44640215</v>
      </c>
      <c r="K38" s="83"/>
      <c r="L38" s="83">
        <f>'MDA FGD'!$M56</f>
        <v>203066911</v>
      </c>
      <c r="M38" s="83"/>
      <c r="N38" s="83">
        <f>'THC FGD'!$M56</f>
        <v>4462614</v>
      </c>
      <c r="O38" s="83"/>
      <c r="P38" s="83">
        <f>'TAMHSC FGD'!$M56</f>
        <v>11274793</v>
      </c>
      <c r="Q38" s="83"/>
      <c r="R38" s="83">
        <f>'UNTHSC FGD'!$M56</f>
        <v>8254807</v>
      </c>
      <c r="S38" s="83"/>
      <c r="T38" s="83">
        <f>'TTUHSC FGD'!$M56</f>
        <v>12689174</v>
      </c>
      <c r="U38" s="83"/>
      <c r="V38" s="83">
        <f>'TTUHSCEP FGD'!$M56</f>
        <v>5812776</v>
      </c>
      <c r="W38" s="83"/>
      <c r="X38" s="83">
        <f>'AUSM FGD'!$M56</f>
        <v>1922914</v>
      </c>
      <c r="Y38" s="83"/>
      <c r="Z38" s="83">
        <f>'RGVM FGD'!$M56</f>
        <v>1385207</v>
      </c>
      <c r="AA38" s="83"/>
      <c r="AB38" s="85"/>
      <c r="AC38" s="85"/>
      <c r="AD38" s="85"/>
      <c r="AE38" s="85"/>
      <c r="AF38" s="85"/>
      <c r="AG38" s="85"/>
      <c r="AH38" s="85"/>
      <c r="AI38" s="85"/>
      <c r="AJ38" s="85"/>
      <c r="AK38" s="85"/>
      <c r="AL38" s="85"/>
    </row>
    <row r="39" spans="1:38">
      <c r="A39" s="74" t="s">
        <v>9</v>
      </c>
      <c r="B39" s="284">
        <f t="shared" si="26"/>
        <v>940655596</v>
      </c>
      <c r="C39" s="86"/>
      <c r="D39" s="284">
        <f>'SWM FGD'!$M57</f>
        <v>209031879</v>
      </c>
      <c r="E39" s="86"/>
      <c r="F39" s="284">
        <f>'MBG FGD'!$M57</f>
        <v>1046267</v>
      </c>
      <c r="G39" s="86"/>
      <c r="H39" s="284">
        <f>'HSH FGD'!$M57</f>
        <v>436379382</v>
      </c>
      <c r="I39" s="86"/>
      <c r="J39" s="284">
        <f>'HSSA FGD'!$M57</f>
        <v>166396985</v>
      </c>
      <c r="K39" s="86"/>
      <c r="L39" s="284">
        <f>'MDA FGD'!$M57</f>
        <v>0</v>
      </c>
      <c r="M39" s="86"/>
      <c r="N39" s="284">
        <f>'THC FGD'!$M57</f>
        <v>0</v>
      </c>
      <c r="O39" s="86"/>
      <c r="P39" s="284">
        <f>'TAMHSC FGD'!$M57</f>
        <v>0</v>
      </c>
      <c r="Q39" s="86"/>
      <c r="R39" s="284">
        <f>'UNTHSC FGD'!$M57</f>
        <v>799557</v>
      </c>
      <c r="S39" s="86"/>
      <c r="T39" s="284">
        <f>'TTUHSC FGD'!$M57</f>
        <v>58927560</v>
      </c>
      <c r="U39" s="86"/>
      <c r="V39" s="284">
        <f>'TTUHSCEP FGD'!$M57</f>
        <v>5263220</v>
      </c>
      <c r="W39" s="86"/>
      <c r="X39" s="284">
        <f>'AUSM FGD'!$M57</f>
        <v>35881870</v>
      </c>
      <c r="Y39" s="86"/>
      <c r="Z39" s="284">
        <f>'RGVM FGD'!$M57</f>
        <v>26928876</v>
      </c>
      <c r="AA39" s="86"/>
      <c r="AB39" s="85"/>
      <c r="AC39" s="85"/>
      <c r="AD39" s="85"/>
      <c r="AE39" s="85"/>
      <c r="AF39" s="85"/>
      <c r="AG39" s="85"/>
      <c r="AH39" s="85"/>
      <c r="AI39" s="85"/>
      <c r="AJ39" s="85"/>
      <c r="AK39" s="85"/>
      <c r="AL39" s="85"/>
    </row>
    <row r="40" spans="1:38">
      <c r="A40" s="74" t="s">
        <v>10</v>
      </c>
      <c r="B40" s="284">
        <f t="shared" si="26"/>
        <v>1017149586</v>
      </c>
      <c r="C40" s="86"/>
      <c r="D40" s="284">
        <f>'SWM FGD'!$M58</f>
        <v>172392594</v>
      </c>
      <c r="E40" s="86"/>
      <c r="F40" s="284">
        <f>'MBG FGD'!$M58</f>
        <v>133522299</v>
      </c>
      <c r="G40" s="86"/>
      <c r="H40" s="284">
        <f>'HSH FGD'!$M58</f>
        <v>164397593</v>
      </c>
      <c r="I40" s="86"/>
      <c r="J40" s="284">
        <f>'HSSA FGD'!$M58</f>
        <v>39685800</v>
      </c>
      <c r="K40" s="86"/>
      <c r="L40" s="284">
        <f>'MDA FGD'!$M58</f>
        <v>274373028</v>
      </c>
      <c r="M40" s="86"/>
      <c r="N40" s="284">
        <f>'THC FGD'!$M58</f>
        <v>11330290</v>
      </c>
      <c r="O40" s="86"/>
      <c r="P40" s="284">
        <f>'TAMHSC FGD'!$M58</f>
        <v>13072394</v>
      </c>
      <c r="Q40" s="86"/>
      <c r="R40" s="284">
        <f>'UNTHSC FGD'!$M58</f>
        <v>9005129</v>
      </c>
      <c r="S40" s="86"/>
      <c r="T40" s="284">
        <f>'TTUHSC FGD'!$M58</f>
        <v>87600256</v>
      </c>
      <c r="U40" s="86"/>
      <c r="V40" s="284">
        <f>'TTUHSCEP FGD'!$M58</f>
        <v>79443423</v>
      </c>
      <c r="W40" s="86"/>
      <c r="X40" s="284">
        <f>'AUSM FGD'!$M58</f>
        <v>28179586</v>
      </c>
      <c r="Y40" s="86"/>
      <c r="Z40" s="284">
        <f>'RGVM FGD'!$M58</f>
        <v>4147194</v>
      </c>
      <c r="AA40" s="86"/>
      <c r="AB40" s="85"/>
      <c r="AC40" s="85"/>
      <c r="AD40" s="85"/>
      <c r="AE40" s="85"/>
      <c r="AF40" s="85"/>
      <c r="AG40" s="85"/>
      <c r="AH40" s="85"/>
      <c r="AI40" s="85"/>
      <c r="AJ40" s="85"/>
      <c r="AK40" s="85"/>
      <c r="AL40" s="85"/>
    </row>
    <row r="41" spans="1:38">
      <c r="A41" s="74" t="s">
        <v>11</v>
      </c>
      <c r="B41" s="284">
        <f t="shared" si="26"/>
        <v>209052351</v>
      </c>
      <c r="C41" s="86"/>
      <c r="D41" s="284">
        <f>'SWM FGD'!$M59</f>
        <v>9620654</v>
      </c>
      <c r="E41" s="86"/>
      <c r="F41" s="284">
        <f>'MBG FGD'!$M59</f>
        <v>13451815</v>
      </c>
      <c r="G41" s="86"/>
      <c r="H41" s="284">
        <f>'HSH FGD'!$M59</f>
        <v>37579867</v>
      </c>
      <c r="I41" s="86"/>
      <c r="J41" s="284">
        <f>'HSSA FGD'!$M59</f>
        <v>30442161</v>
      </c>
      <c r="K41" s="86"/>
      <c r="L41" s="284">
        <f>'MDA FGD'!$M59</f>
        <v>2031065</v>
      </c>
      <c r="M41" s="86"/>
      <c r="N41" s="284">
        <f>'THC FGD'!$M59</f>
        <v>3679021</v>
      </c>
      <c r="O41" s="86"/>
      <c r="P41" s="284">
        <f>'TAMHSC FGD'!$M59</f>
        <v>40717912</v>
      </c>
      <c r="Q41" s="86"/>
      <c r="R41" s="284">
        <f>'UNTHSC FGD'!$M59</f>
        <v>59689998</v>
      </c>
      <c r="S41" s="86"/>
      <c r="T41" s="284">
        <f>'TTUHSC FGD'!$M59</f>
        <v>11084298</v>
      </c>
      <c r="U41" s="86"/>
      <c r="V41" s="284">
        <f>'TTUHSCEP FGD'!$M59</f>
        <v>417606</v>
      </c>
      <c r="W41" s="86"/>
      <c r="X41" s="284">
        <f>'AUSM FGD'!$M59</f>
        <v>84761</v>
      </c>
      <c r="Y41" s="86"/>
      <c r="Z41" s="284">
        <f>'RGVM FGD'!$M59</f>
        <v>253193</v>
      </c>
      <c r="AA41" s="86"/>
      <c r="AB41" s="85"/>
      <c r="AC41" s="85"/>
      <c r="AD41" s="85"/>
      <c r="AE41" s="85"/>
      <c r="AF41" s="85"/>
      <c r="AG41" s="85"/>
      <c r="AH41" s="85"/>
      <c r="AI41" s="85"/>
      <c r="AJ41" s="85"/>
      <c r="AK41" s="85"/>
      <c r="AL41" s="85"/>
    </row>
    <row r="42" spans="1:38">
      <c r="A42" s="92" t="s">
        <v>1362</v>
      </c>
      <c r="B42" s="286">
        <f t="shared" si="26"/>
        <v>123232260</v>
      </c>
      <c r="C42" s="86"/>
      <c r="D42" s="286">
        <f>'SWM FGD'!$M60</f>
        <v>26351428</v>
      </c>
      <c r="E42" s="86"/>
      <c r="F42" s="286">
        <f>'MBG FGD'!$M60</f>
        <v>12933001</v>
      </c>
      <c r="G42" s="86"/>
      <c r="H42" s="286">
        <f>'HSH FGD'!$M60</f>
        <v>27162590</v>
      </c>
      <c r="I42" s="86"/>
      <c r="J42" s="286">
        <f>'HSSA FGD'!$M60</f>
        <v>5480027</v>
      </c>
      <c r="K42" s="86"/>
      <c r="L42" s="286">
        <f>'MDA FGD'!$M60</f>
        <v>44292397</v>
      </c>
      <c r="M42" s="86"/>
      <c r="N42" s="286">
        <f>'THC FGD'!$M60</f>
        <v>164836</v>
      </c>
      <c r="O42" s="86"/>
      <c r="P42" s="286">
        <f>'TAMHSC FGD'!$M60</f>
        <v>1966031</v>
      </c>
      <c r="Q42" s="86"/>
      <c r="R42" s="286">
        <f>'UNTHSC FGD'!$M60</f>
        <v>625243</v>
      </c>
      <c r="S42" s="86"/>
      <c r="T42" s="286">
        <f>'TTUHSC FGD'!$M60</f>
        <v>828063</v>
      </c>
      <c r="U42" s="86"/>
      <c r="V42" s="286">
        <f>'TTUHSCEP FGD'!$M60</f>
        <v>276566</v>
      </c>
      <c r="W42" s="86"/>
      <c r="X42" s="286">
        <f>'AUSM FGD'!$M60</f>
        <v>3152078</v>
      </c>
      <c r="Y42" s="86"/>
      <c r="Z42" s="286">
        <f>'RGVM FGD'!$M60</f>
        <v>0</v>
      </c>
      <c r="AA42" s="86"/>
      <c r="AB42" s="85"/>
      <c r="AC42" s="85"/>
      <c r="AD42" s="85"/>
      <c r="AE42" s="85"/>
      <c r="AF42" s="85"/>
      <c r="AG42" s="85"/>
      <c r="AH42" s="85"/>
      <c r="AI42" s="85"/>
      <c r="AJ42" s="85"/>
      <c r="AK42" s="85"/>
      <c r="AL42" s="85"/>
    </row>
    <row r="43" spans="1:38">
      <c r="A43" s="93" t="s">
        <v>41</v>
      </c>
      <c r="B43" s="284">
        <f t="shared" si="26"/>
        <v>514940347</v>
      </c>
      <c r="C43" s="86"/>
      <c r="D43" s="284">
        <f>'SWM FGD'!$M61</f>
        <v>139721716</v>
      </c>
      <c r="E43" s="86"/>
      <c r="F43" s="284">
        <f>'MBG FGD'!$M61</f>
        <v>55954790</v>
      </c>
      <c r="G43" s="86"/>
      <c r="H43" s="284">
        <f>'HSH FGD'!$M61</f>
        <v>75969439</v>
      </c>
      <c r="I43" s="86"/>
      <c r="J43" s="284">
        <f>'HSSA FGD'!$M61</f>
        <v>34002705</v>
      </c>
      <c r="K43" s="86"/>
      <c r="L43" s="284">
        <f>'MDA FGD'!$M61</f>
        <v>122054502</v>
      </c>
      <c r="M43" s="86"/>
      <c r="N43" s="284">
        <f>'THC FGD'!$M61</f>
        <v>23191727</v>
      </c>
      <c r="O43" s="86"/>
      <c r="P43" s="284">
        <f>'TAMHSC FGD'!$M61</f>
        <v>11819848</v>
      </c>
      <c r="Q43" s="86"/>
      <c r="R43" s="284">
        <f>'UNTHSC FGD'!$M61</f>
        <v>564871</v>
      </c>
      <c r="S43" s="86"/>
      <c r="T43" s="284">
        <f>'TTUHSC FGD'!$M61</f>
        <v>22844915</v>
      </c>
      <c r="U43" s="86"/>
      <c r="V43" s="284">
        <f>'TTUHSCEP FGD'!$M61</f>
        <v>13007582</v>
      </c>
      <c r="W43" s="86"/>
      <c r="X43" s="284">
        <f>'AUSM FGD'!$M61</f>
        <v>3271664</v>
      </c>
      <c r="Y43" s="86"/>
      <c r="Z43" s="284">
        <f>'RGVM FGD'!$M61</f>
        <v>12536588</v>
      </c>
      <c r="AA43" s="86"/>
      <c r="AB43" s="89"/>
      <c r="AC43" s="89"/>
      <c r="AD43" s="89"/>
      <c r="AE43" s="89"/>
      <c r="AF43" s="89"/>
      <c r="AG43" s="89"/>
      <c r="AH43" s="89"/>
      <c r="AI43" s="89"/>
      <c r="AJ43" s="89"/>
      <c r="AK43" s="89"/>
      <c r="AL43" s="89"/>
    </row>
    <row r="44" spans="1:38">
      <c r="A44" s="87" t="s">
        <v>3</v>
      </c>
      <c r="B44" s="88">
        <f t="shared" ref="B44:D44" si="27">SUM(B38:B43)</f>
        <v>3349315236</v>
      </c>
      <c r="C44" s="88"/>
      <c r="D44" s="88">
        <f t="shared" si="27"/>
        <v>690373215</v>
      </c>
      <c r="E44" s="88"/>
      <c r="F44" s="88">
        <f t="shared" ref="F44:T44" si="28">SUM(F38:F43)</f>
        <v>277257457</v>
      </c>
      <c r="G44" s="88"/>
      <c r="H44" s="88">
        <f t="shared" si="28"/>
        <v>798660327</v>
      </c>
      <c r="I44" s="88"/>
      <c r="J44" s="88">
        <f t="shared" si="28"/>
        <v>320647893</v>
      </c>
      <c r="K44" s="88"/>
      <c r="L44" s="88">
        <f t="shared" si="28"/>
        <v>645817903</v>
      </c>
      <c r="M44" s="88"/>
      <c r="N44" s="88">
        <f t="shared" si="28"/>
        <v>42828488</v>
      </c>
      <c r="O44" s="88"/>
      <c r="P44" s="88">
        <f t="shared" si="28"/>
        <v>78850978</v>
      </c>
      <c r="Q44" s="88"/>
      <c r="R44" s="88">
        <f t="shared" si="28"/>
        <v>78939605</v>
      </c>
      <c r="S44" s="88"/>
      <c r="T44" s="88">
        <f t="shared" si="28"/>
        <v>193974266</v>
      </c>
      <c r="U44" s="88"/>
      <c r="V44" s="88">
        <f t="shared" ref="V44" si="29">SUM(V38:V43)</f>
        <v>104221173</v>
      </c>
      <c r="W44" s="88"/>
      <c r="X44" s="88">
        <f t="shared" ref="X44" si="30">SUM(X38:X43)</f>
        <v>72492873</v>
      </c>
      <c r="Y44" s="88"/>
      <c r="Z44" s="88">
        <f t="shared" ref="Z44" si="31">SUM(Z38:Z43)</f>
        <v>45251058</v>
      </c>
      <c r="AA44" s="88"/>
      <c r="AB44" s="85"/>
      <c r="AC44" s="85"/>
      <c r="AD44" s="85"/>
      <c r="AE44" s="85"/>
      <c r="AF44" s="85"/>
      <c r="AG44" s="85"/>
      <c r="AH44" s="85"/>
      <c r="AI44" s="85"/>
      <c r="AJ44" s="85"/>
      <c r="AK44" s="85"/>
      <c r="AL44" s="85"/>
    </row>
    <row r="45" spans="1:38">
      <c r="A45" s="94" t="s">
        <v>71</v>
      </c>
      <c r="B45" s="139">
        <f>B15+B26+B29+B44+B32+B35</f>
        <v>15048783978</v>
      </c>
      <c r="C45" s="139"/>
      <c r="D45" s="139">
        <f>D15+D26+D29+D44+D32+D35</f>
        <v>3125432226</v>
      </c>
      <c r="E45" s="139"/>
      <c r="F45" s="139">
        <f>F15+F26+F29+F44+F32+F35</f>
        <v>2222734640</v>
      </c>
      <c r="G45" s="139"/>
      <c r="H45" s="139">
        <f>H15+H26+H29+H44+H32+H35</f>
        <v>1686142630</v>
      </c>
      <c r="I45" s="139"/>
      <c r="J45" s="139">
        <f>J15+J26+J29+J44+J32+J35</f>
        <v>870868816</v>
      </c>
      <c r="K45" s="139"/>
      <c r="L45" s="139">
        <f>L15+L26+L29+L44+L32+L35</f>
        <v>5164890810</v>
      </c>
      <c r="M45" s="139"/>
      <c r="N45" s="139">
        <f>N15+N26+N29+N44+N32+N35</f>
        <v>197681626</v>
      </c>
      <c r="O45" s="139"/>
      <c r="P45" s="139">
        <f>P15+P26+P29+P44+P32+P35</f>
        <v>345164284</v>
      </c>
      <c r="Q45" s="139"/>
      <c r="R45" s="139">
        <f>R15+R26+R29+R44+R32+R35</f>
        <v>284129129</v>
      </c>
      <c r="S45" s="139"/>
      <c r="T45" s="139">
        <f>T15+T26+T29+T44+T32+T35</f>
        <v>688722256</v>
      </c>
      <c r="U45" s="139"/>
      <c r="V45" s="139">
        <f>V15+V26+V29+V44+V32+V35</f>
        <v>256828948</v>
      </c>
      <c r="W45" s="139"/>
      <c r="X45" s="139">
        <f>X15+X26+X29+X44+X32+X35</f>
        <v>120600219</v>
      </c>
      <c r="Y45" s="139"/>
      <c r="Z45" s="139">
        <f>Z15+Z26+Z29+Z44+Z32+Z35</f>
        <v>85588394</v>
      </c>
      <c r="AA45" s="139"/>
      <c r="AB45" s="85"/>
      <c r="AC45" s="85"/>
      <c r="AD45" s="85"/>
      <c r="AE45" s="85"/>
      <c r="AF45" s="85"/>
      <c r="AG45" s="85"/>
      <c r="AH45" s="85"/>
      <c r="AI45" s="85"/>
      <c r="AJ45" s="85"/>
      <c r="AK45" s="85"/>
      <c r="AL45" s="85"/>
    </row>
    <row r="46" spans="1:38">
      <c r="B46" s="91" t="str">
        <f>IF(B45&lt;&gt;'Smmy Sum'!B51,"Error","")</f>
        <v/>
      </c>
      <c r="C46" s="91"/>
      <c r="D46" s="91" t="str">
        <f>IF(D45&lt;&gt;'SWM FGD'!$M63,"Error","")</f>
        <v/>
      </c>
      <c r="E46" s="91"/>
      <c r="F46" s="91" t="str">
        <f>IF(F45&lt;&gt;'MBG FGD'!$M63,"Error","")</f>
        <v/>
      </c>
      <c r="G46" s="91"/>
      <c r="H46" s="91" t="str">
        <f>IF(H45&lt;&gt;'HSH FGD'!$M63,"Error","")</f>
        <v/>
      </c>
      <c r="I46" s="91"/>
      <c r="J46" s="91" t="str">
        <f>IF(J45&lt;&gt;'HSSA FGD'!$M63,"Error","")</f>
        <v/>
      </c>
      <c r="K46" s="91"/>
      <c r="L46" s="91" t="str">
        <f>IF(L45&lt;&gt;'MDA FGD'!$M63,"Error","")</f>
        <v/>
      </c>
      <c r="M46" s="91"/>
      <c r="N46" s="91" t="str">
        <f>IF(N45&lt;&gt;'THC FGD'!$M63,"Error","")</f>
        <v/>
      </c>
      <c r="O46" s="91"/>
      <c r="P46" s="91" t="str">
        <f>IF(P45&lt;&gt;'TAMHSC FGD'!$M63,"Error","")</f>
        <v/>
      </c>
      <c r="Q46" s="91"/>
      <c r="R46" s="91" t="str">
        <f>IF(R45&lt;&gt;'UNTHSC FGD'!$M63,"Error","")</f>
        <v/>
      </c>
      <c r="S46" s="91"/>
      <c r="T46" s="91" t="str">
        <f>IF(T45&lt;&gt;'TTUHSC FGD'!$M63,"Error","")</f>
        <v/>
      </c>
      <c r="U46" s="91"/>
      <c r="V46" s="91" t="str">
        <f>IF(V45&lt;&gt;'TTUHSCEP FGD'!$M63,"Error","")</f>
        <v/>
      </c>
      <c r="W46" s="91"/>
      <c r="X46" s="91" t="str">
        <f>IF(X45&lt;&gt;'AUSM FGD'!$M63,"Error","")</f>
        <v/>
      </c>
      <c r="Y46" s="91"/>
      <c r="Z46" s="91" t="str">
        <f>IF(Z45&lt;&gt;'RGVM FGD'!$M63,"Error","")</f>
        <v/>
      </c>
      <c r="AA46" s="91"/>
      <c r="AB46" s="85"/>
      <c r="AC46" s="85"/>
      <c r="AD46" s="85"/>
      <c r="AE46" s="85"/>
      <c r="AF46" s="85"/>
      <c r="AG46" s="85"/>
      <c r="AH46" s="85"/>
      <c r="AI46" s="85"/>
      <c r="AJ46" s="85"/>
      <c r="AK46" s="85"/>
      <c r="AL46" s="85"/>
    </row>
    <row r="47" spans="1:38">
      <c r="A47" s="81" t="s">
        <v>75</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row>
    <row r="48" spans="1:38">
      <c r="A48" s="95" t="s">
        <v>14</v>
      </c>
      <c r="B48" s="83">
        <f t="shared" ref="B48:B59" si="32">SUMIF(D$77:AA$77,$B$77,D48:AA48)</f>
        <v>2999569033</v>
      </c>
      <c r="C48" s="83">
        <f t="shared" ref="C48:C58" si="33">ROUND(B48/C$6,0)</f>
        <v>108646</v>
      </c>
      <c r="D48" s="83">
        <f>'SWM FGD'!$M65</f>
        <v>951791832</v>
      </c>
      <c r="E48" s="83">
        <f t="shared" ref="E48:E58" si="34">ROUND(D48/E$6,0)</f>
        <v>439286</v>
      </c>
      <c r="F48" s="83">
        <f>'MBG FGD'!$M65</f>
        <v>337210597</v>
      </c>
      <c r="G48" s="83">
        <f t="shared" ref="G48:G58" si="35">ROUND(F48/G$6,0)</f>
        <v>91288</v>
      </c>
      <c r="H48" s="83">
        <f>'HSH FGD'!$M65</f>
        <v>717084884</v>
      </c>
      <c r="I48" s="83">
        <f t="shared" ref="I48:I58" si="36">ROUND(H48/I$6,0)</f>
        <v>146706</v>
      </c>
      <c r="J48" s="83">
        <f>'HSSA FGD'!$M65</f>
        <v>380969177</v>
      </c>
      <c r="K48" s="83">
        <f t="shared" ref="K48:K58" si="37">ROUND(J48/K$6,0)</f>
        <v>99524</v>
      </c>
      <c r="L48" s="83">
        <f>'MDA FGD'!$M65</f>
        <v>77333871</v>
      </c>
      <c r="M48" s="83"/>
      <c r="N48" s="83">
        <f>'THC FGD'!$M65</f>
        <v>17373510</v>
      </c>
      <c r="O48" s="83"/>
      <c r="P48" s="83">
        <f>'TAMHSC FGD'!$M65</f>
        <v>115055491</v>
      </c>
      <c r="Q48" s="83">
        <f t="shared" ref="Q48:Q58" si="38">ROUND(P48/Q$6,0)</f>
        <v>36953</v>
      </c>
      <c r="R48" s="83">
        <f>'UNTHSC FGD'!$M65</f>
        <v>70535325</v>
      </c>
      <c r="S48" s="83">
        <f t="shared" ref="S48:S58" si="39">ROUND(R48/S$6,0)</f>
        <v>24869</v>
      </c>
      <c r="T48" s="83">
        <f>'TTUHSC FGD'!$M65</f>
        <v>202142878</v>
      </c>
      <c r="U48" s="83">
        <f t="shared" ref="U48:U58" si="40">ROUND(T48/U$6,0)</f>
        <v>35242</v>
      </c>
      <c r="V48" s="83">
        <f>'TTUHSCEP FGD'!$M65</f>
        <v>108245057</v>
      </c>
      <c r="W48" s="83">
        <f t="shared" ref="W48:W49" si="41">ROUND(V48/W$6,0)</f>
        <v>146811</v>
      </c>
      <c r="X48" s="83">
        <f>'AUSM FGD'!$M65</f>
        <v>4099463</v>
      </c>
      <c r="Y48" s="83"/>
      <c r="Z48" s="83">
        <f>'RGVM FGD'!$M65</f>
        <v>17726948</v>
      </c>
      <c r="AA48" s="83"/>
      <c r="AB48" s="85"/>
      <c r="AC48" s="85"/>
      <c r="AD48" s="85"/>
      <c r="AE48" s="85"/>
      <c r="AF48" s="85"/>
      <c r="AG48" s="85"/>
      <c r="AH48" s="85"/>
      <c r="AI48" s="85"/>
      <c r="AJ48" s="85"/>
      <c r="AK48" s="85"/>
      <c r="AL48" s="85"/>
    </row>
    <row r="49" spans="1:38">
      <c r="A49" s="95" t="s">
        <v>15</v>
      </c>
      <c r="B49" s="284">
        <f t="shared" si="32"/>
        <v>1751366403</v>
      </c>
      <c r="C49" s="86">
        <f t="shared" si="33"/>
        <v>63435</v>
      </c>
      <c r="D49" s="284">
        <f>'SWM FGD'!$M66</f>
        <v>363136707</v>
      </c>
      <c r="E49" s="86">
        <f t="shared" si="34"/>
        <v>167601</v>
      </c>
      <c r="F49" s="284">
        <f>'MBG FGD'!$M66</f>
        <v>110635770</v>
      </c>
      <c r="G49" s="86">
        <f t="shared" si="35"/>
        <v>29951</v>
      </c>
      <c r="H49" s="284">
        <f>'HSH FGD'!$M66</f>
        <v>199048552</v>
      </c>
      <c r="I49" s="86">
        <f t="shared" si="36"/>
        <v>40723</v>
      </c>
      <c r="J49" s="284">
        <f>'HSSA FGD'!$M66</f>
        <v>126561477</v>
      </c>
      <c r="K49" s="86">
        <f t="shared" si="37"/>
        <v>33063</v>
      </c>
      <c r="L49" s="284">
        <f>'MDA FGD'!$M66</f>
        <v>750400862</v>
      </c>
      <c r="M49" s="86"/>
      <c r="N49" s="284">
        <f>'THC FGD'!$M66</f>
        <v>15946928</v>
      </c>
      <c r="O49" s="86"/>
      <c r="P49" s="284">
        <f>'TAMHSC FGD'!$M66</f>
        <v>69989914</v>
      </c>
      <c r="Q49" s="86">
        <f t="shared" si="38"/>
        <v>22479</v>
      </c>
      <c r="R49" s="284">
        <f>'UNTHSC FGD'!$M66</f>
        <v>36080019</v>
      </c>
      <c r="S49" s="86">
        <f t="shared" si="39"/>
        <v>12721</v>
      </c>
      <c r="T49" s="284">
        <f>'TTUHSC FGD'!$M66</f>
        <v>33937168</v>
      </c>
      <c r="U49" s="86">
        <f t="shared" si="40"/>
        <v>5917</v>
      </c>
      <c r="V49" s="284">
        <f>'TTUHSCEP FGD'!$M66</f>
        <v>11095002</v>
      </c>
      <c r="W49" s="86">
        <f t="shared" si="41"/>
        <v>15048</v>
      </c>
      <c r="X49" s="284">
        <f>'AUSM FGD'!$M66</f>
        <v>24774653</v>
      </c>
      <c r="Y49" s="86"/>
      <c r="Z49" s="284">
        <f>'RGVM FGD'!$M66</f>
        <v>9759351</v>
      </c>
      <c r="AA49" s="86"/>
      <c r="AB49" s="85"/>
      <c r="AC49" s="85"/>
      <c r="AD49" s="85"/>
      <c r="AE49" s="85"/>
      <c r="AF49" s="85"/>
      <c r="AG49" s="85"/>
      <c r="AH49" s="85"/>
      <c r="AI49" s="85"/>
      <c r="AJ49" s="85"/>
      <c r="AK49" s="85"/>
      <c r="AL49" s="85"/>
    </row>
    <row r="50" spans="1:38">
      <c r="A50" s="95" t="s">
        <v>16</v>
      </c>
      <c r="B50" s="284">
        <f t="shared" si="32"/>
        <v>323289387</v>
      </c>
      <c r="C50" s="86"/>
      <c r="D50" s="284">
        <f>'SWM FGD'!$M67</f>
        <v>31194857</v>
      </c>
      <c r="E50" s="86"/>
      <c r="F50" s="284">
        <f>'MBG FGD'!$M67</f>
        <v>18195325</v>
      </c>
      <c r="G50" s="86"/>
      <c r="H50" s="284">
        <f>'HSH FGD'!$M67</f>
        <v>31435559</v>
      </c>
      <c r="I50" s="86"/>
      <c r="J50" s="284">
        <f>'HSSA FGD'!$M67</f>
        <v>29457888</v>
      </c>
      <c r="K50" s="86"/>
      <c r="L50" s="284">
        <f>'MDA FGD'!$M67</f>
        <v>15550812</v>
      </c>
      <c r="M50" s="86"/>
      <c r="N50" s="284">
        <f>'THC FGD'!$M67</f>
        <v>0</v>
      </c>
      <c r="O50" s="86"/>
      <c r="P50" s="284">
        <f>'TAMHSC FGD'!$M67</f>
        <v>11307413</v>
      </c>
      <c r="Q50" s="86"/>
      <c r="R50" s="284">
        <f>'UNTHSC FGD'!$M67</f>
        <v>45182938</v>
      </c>
      <c r="S50" s="86"/>
      <c r="T50" s="284">
        <f>'TTUHSC FGD'!$M67</f>
        <v>132045671</v>
      </c>
      <c r="U50" s="86"/>
      <c r="V50" s="284">
        <f>'TTUHSCEP FGD'!$M67</f>
        <v>2820707</v>
      </c>
      <c r="W50" s="86"/>
      <c r="X50" s="284">
        <f>'AUSM FGD'!$M67</f>
        <v>3315193</v>
      </c>
      <c r="Y50" s="86"/>
      <c r="Z50" s="284">
        <f>'RGVM FGD'!$M67</f>
        <v>2783024</v>
      </c>
      <c r="AA50" s="86"/>
      <c r="AB50" s="85"/>
      <c r="AC50" s="85"/>
      <c r="AD50" s="85"/>
      <c r="AE50" s="85"/>
      <c r="AF50" s="85"/>
      <c r="AG50" s="85"/>
      <c r="AH50" s="85"/>
      <c r="AI50" s="85"/>
      <c r="AJ50" s="85"/>
      <c r="AK50" s="85"/>
      <c r="AL50" s="85"/>
    </row>
    <row r="51" spans="1:38">
      <c r="A51" s="20" t="s">
        <v>55</v>
      </c>
      <c r="B51" s="284">
        <f t="shared" si="32"/>
        <v>6076121613</v>
      </c>
      <c r="C51" s="86"/>
      <c r="D51" s="284">
        <f>'SWM FGD'!$M68</f>
        <v>1210667716</v>
      </c>
      <c r="E51" s="86"/>
      <c r="F51" s="284">
        <f>'MBG FGD'!$M68</f>
        <v>1289997415</v>
      </c>
      <c r="G51" s="86"/>
      <c r="H51" s="284">
        <f>'HSH FGD'!$M68</f>
        <v>430638402</v>
      </c>
      <c r="I51" s="86"/>
      <c r="J51" s="284">
        <f>'HSSA FGD'!$M68</f>
        <v>131112226</v>
      </c>
      <c r="K51" s="86"/>
      <c r="L51" s="284">
        <f>'MDA FGD'!$M68</f>
        <v>2723124887</v>
      </c>
      <c r="M51" s="86"/>
      <c r="N51" s="284">
        <f>'THC FGD'!$M68</f>
        <v>146832357</v>
      </c>
      <c r="O51" s="86"/>
      <c r="P51" s="284">
        <f>'TAMHSC FGD'!$M68</f>
        <v>0</v>
      </c>
      <c r="Q51" s="86"/>
      <c r="R51" s="284">
        <f>'UNTHSC FGD'!$M68</f>
        <v>0</v>
      </c>
      <c r="S51" s="86"/>
      <c r="T51" s="284">
        <f>'TTUHSC FGD'!$M68</f>
        <v>78308297</v>
      </c>
      <c r="U51" s="86"/>
      <c r="V51" s="284">
        <f>'TTUHSCEP FGD'!$M68</f>
        <v>20371013</v>
      </c>
      <c r="W51" s="86"/>
      <c r="X51" s="284">
        <f>'AUSM FGD'!$M68</f>
        <v>18740043</v>
      </c>
      <c r="Y51" s="86"/>
      <c r="Z51" s="284">
        <f>'RGVM FGD'!$M68</f>
        <v>26329257</v>
      </c>
      <c r="AA51" s="86"/>
      <c r="AB51" s="85"/>
      <c r="AC51" s="85"/>
      <c r="AD51" s="85"/>
      <c r="AE51" s="85"/>
      <c r="AF51" s="85"/>
      <c r="AG51" s="85"/>
      <c r="AH51" s="85"/>
      <c r="AI51" s="85"/>
      <c r="AJ51" s="85"/>
      <c r="AK51" s="85"/>
      <c r="AL51" s="85"/>
    </row>
    <row r="52" spans="1:38">
      <c r="A52" s="95" t="s">
        <v>17</v>
      </c>
      <c r="B52" s="284">
        <f t="shared" si="32"/>
        <v>567907925</v>
      </c>
      <c r="C52" s="86">
        <f t="shared" si="33"/>
        <v>20570</v>
      </c>
      <c r="D52" s="284">
        <f>'SWM FGD'!$M69</f>
        <v>23866871</v>
      </c>
      <c r="E52" s="86">
        <f t="shared" si="34"/>
        <v>11015</v>
      </c>
      <c r="F52" s="284">
        <f>'MBG FGD'!$M69</f>
        <v>35259763</v>
      </c>
      <c r="G52" s="86">
        <f t="shared" si="35"/>
        <v>9545</v>
      </c>
      <c r="H52" s="284">
        <f>'HSH FGD'!$M69</f>
        <v>55340893</v>
      </c>
      <c r="I52" s="86">
        <f t="shared" si="36"/>
        <v>11322</v>
      </c>
      <c r="J52" s="284">
        <f>'HSSA FGD'!$M69</f>
        <v>43260128</v>
      </c>
      <c r="K52" s="86">
        <f t="shared" si="37"/>
        <v>11301</v>
      </c>
      <c r="L52" s="284">
        <f>'MDA FGD'!$M69</f>
        <v>141247694</v>
      </c>
      <c r="M52" s="86"/>
      <c r="N52" s="284">
        <f>'THC FGD'!$M69</f>
        <v>1389336</v>
      </c>
      <c r="O52" s="86"/>
      <c r="P52" s="284">
        <f>'TAMHSC FGD'!$M69</f>
        <v>33122409</v>
      </c>
      <c r="Q52" s="86">
        <f t="shared" si="38"/>
        <v>10638</v>
      </c>
      <c r="R52" s="284">
        <f>'UNTHSC FGD'!$M69</f>
        <v>19200650</v>
      </c>
      <c r="S52" s="86">
        <f t="shared" si="39"/>
        <v>6770</v>
      </c>
      <c r="T52" s="284">
        <f>'TTUHSC FGD'!$M69</f>
        <v>118813442</v>
      </c>
      <c r="U52" s="86">
        <f t="shared" si="40"/>
        <v>20714</v>
      </c>
      <c r="V52" s="284">
        <f>'TTUHSCEP FGD'!$M69</f>
        <v>49800417</v>
      </c>
      <c r="W52" s="86">
        <f t="shared" ref="W52:W54" si="42">ROUND(V52/W$6,0)</f>
        <v>67543</v>
      </c>
      <c r="X52" s="284">
        <f>'AUSM FGD'!$M69</f>
        <v>36576862</v>
      </c>
      <c r="Y52" s="86"/>
      <c r="Z52" s="284">
        <f>'RGVM FGD'!$M69</f>
        <v>10029460</v>
      </c>
      <c r="AA52" s="86"/>
      <c r="AB52" s="85"/>
      <c r="AC52" s="85"/>
      <c r="AD52" s="85"/>
      <c r="AE52" s="85"/>
      <c r="AF52" s="85"/>
      <c r="AG52" s="85"/>
      <c r="AH52" s="85"/>
      <c r="AI52" s="85"/>
      <c r="AJ52" s="85"/>
      <c r="AK52" s="85"/>
      <c r="AL52" s="85"/>
    </row>
    <row r="53" spans="1:38">
      <c r="A53" s="95" t="s">
        <v>18</v>
      </c>
      <c r="B53" s="284">
        <f t="shared" si="32"/>
        <v>53599888</v>
      </c>
      <c r="C53" s="86">
        <f t="shared" si="33"/>
        <v>1941</v>
      </c>
      <c r="D53" s="284">
        <f>'SWM FGD'!$M70</f>
        <v>4004422</v>
      </c>
      <c r="E53" s="86">
        <f t="shared" si="34"/>
        <v>1848</v>
      </c>
      <c r="F53" s="284">
        <f>'MBG FGD'!$M70</f>
        <v>6718483</v>
      </c>
      <c r="G53" s="86">
        <f t="shared" si="35"/>
        <v>1819</v>
      </c>
      <c r="H53" s="284">
        <f>'HSH FGD'!$M70</f>
        <v>9150310</v>
      </c>
      <c r="I53" s="86">
        <f t="shared" si="36"/>
        <v>1872</v>
      </c>
      <c r="J53" s="284">
        <f>'HSSA FGD'!$M70</f>
        <v>2118896</v>
      </c>
      <c r="K53" s="86">
        <f t="shared" si="37"/>
        <v>554</v>
      </c>
      <c r="L53" s="284">
        <f>'MDA FGD'!$M70</f>
        <v>271580</v>
      </c>
      <c r="M53" s="86"/>
      <c r="N53" s="284">
        <f>'THC FGD'!$M70</f>
        <v>0</v>
      </c>
      <c r="O53" s="86"/>
      <c r="P53" s="284">
        <f>'TAMHSC FGD'!$M70</f>
        <v>5439173</v>
      </c>
      <c r="Q53" s="86">
        <f t="shared" si="38"/>
        <v>1747</v>
      </c>
      <c r="R53" s="284">
        <f>'UNTHSC FGD'!$M70</f>
        <v>5516917</v>
      </c>
      <c r="S53" s="86">
        <f t="shared" si="39"/>
        <v>1945</v>
      </c>
      <c r="T53" s="284">
        <f>'TTUHSC FGD'!$M70</f>
        <v>15181835</v>
      </c>
      <c r="U53" s="86">
        <f t="shared" si="40"/>
        <v>2647</v>
      </c>
      <c r="V53" s="284">
        <f>'TTUHSCEP FGD'!$M70</f>
        <v>3124008</v>
      </c>
      <c r="W53" s="86">
        <f t="shared" si="42"/>
        <v>4237</v>
      </c>
      <c r="X53" s="284">
        <f>'AUSM FGD'!$M70</f>
        <v>0</v>
      </c>
      <c r="Y53" s="86"/>
      <c r="Z53" s="284">
        <f>'RGVM FGD'!$M70</f>
        <v>2074264</v>
      </c>
      <c r="AA53" s="86"/>
      <c r="AB53" s="85"/>
      <c r="AC53" s="85"/>
      <c r="AD53" s="85"/>
      <c r="AE53" s="85"/>
      <c r="AF53" s="85"/>
      <c r="AG53" s="85"/>
      <c r="AH53" s="85"/>
      <c r="AI53" s="85"/>
      <c r="AJ53" s="85"/>
      <c r="AK53" s="85"/>
      <c r="AL53" s="85"/>
    </row>
    <row r="54" spans="1:38">
      <c r="A54" s="95" t="s">
        <v>19</v>
      </c>
      <c r="B54" s="284">
        <f t="shared" si="32"/>
        <v>532579502</v>
      </c>
      <c r="C54" s="86">
        <f t="shared" si="33"/>
        <v>19290</v>
      </c>
      <c r="D54" s="284">
        <f>'SWM FGD'!$M71</f>
        <v>70995819</v>
      </c>
      <c r="E54" s="86">
        <f t="shared" si="34"/>
        <v>32767</v>
      </c>
      <c r="F54" s="284">
        <f>'MBG FGD'!$M71</f>
        <v>87090538</v>
      </c>
      <c r="G54" s="86">
        <f t="shared" si="35"/>
        <v>23577</v>
      </c>
      <c r="H54" s="284">
        <f>'HSH FGD'!$M71</f>
        <v>77137846</v>
      </c>
      <c r="I54" s="86">
        <f t="shared" si="36"/>
        <v>15781</v>
      </c>
      <c r="J54" s="284">
        <f>'HSSA FGD'!$M71</f>
        <v>47841835</v>
      </c>
      <c r="K54" s="86">
        <f t="shared" si="37"/>
        <v>12498</v>
      </c>
      <c r="L54" s="284">
        <f>'MDA FGD'!$M71</f>
        <v>132530406</v>
      </c>
      <c r="M54" s="86"/>
      <c r="N54" s="284">
        <f>'THC FGD'!$M71</f>
        <v>19973480</v>
      </c>
      <c r="O54" s="86"/>
      <c r="P54" s="284">
        <f>'TAMHSC FGD'!$M71</f>
        <v>14423388</v>
      </c>
      <c r="Q54" s="86">
        <f t="shared" si="38"/>
        <v>4632</v>
      </c>
      <c r="R54" s="284">
        <f>'UNTHSC FGD'!$M71</f>
        <v>17955894</v>
      </c>
      <c r="S54" s="86">
        <f t="shared" si="39"/>
        <v>6331</v>
      </c>
      <c r="T54" s="284">
        <f>'TTUHSC FGD'!$M71</f>
        <v>29372793</v>
      </c>
      <c r="U54" s="86">
        <f t="shared" si="40"/>
        <v>5121</v>
      </c>
      <c r="V54" s="284">
        <f>'TTUHSCEP FGD'!$M71</f>
        <v>11916336</v>
      </c>
      <c r="W54" s="86">
        <f t="shared" si="42"/>
        <v>16162</v>
      </c>
      <c r="X54" s="284">
        <f>'AUSM FGD'!$M71</f>
        <v>18869692</v>
      </c>
      <c r="Y54" s="86"/>
      <c r="Z54" s="284">
        <f>'RGVM FGD'!$M71</f>
        <v>4471475</v>
      </c>
      <c r="AA54" s="86"/>
      <c r="AB54" s="85"/>
      <c r="AC54" s="85"/>
      <c r="AD54" s="85"/>
      <c r="AE54" s="85"/>
      <c r="AF54" s="85"/>
      <c r="AG54" s="85"/>
      <c r="AH54" s="85"/>
      <c r="AI54" s="85"/>
      <c r="AJ54" s="85"/>
      <c r="AK54" s="85"/>
      <c r="AL54" s="85"/>
    </row>
    <row r="55" spans="1:38">
      <c r="A55" s="95" t="s">
        <v>20</v>
      </c>
      <c r="B55" s="284">
        <f t="shared" si="32"/>
        <v>533150845</v>
      </c>
      <c r="C55" s="86"/>
      <c r="D55" s="284">
        <f>'SWM FGD'!$M72</f>
        <v>83724272</v>
      </c>
      <c r="E55" s="86"/>
      <c r="F55" s="284">
        <f>'MBG FGD'!$M72</f>
        <v>59056075</v>
      </c>
      <c r="G55" s="86"/>
      <c r="H55" s="284">
        <f>'HSH FGD'!$M72</f>
        <v>43942794</v>
      </c>
      <c r="I55" s="86"/>
      <c r="J55" s="284">
        <f>'HSSA FGD'!$M72</f>
        <v>37591395</v>
      </c>
      <c r="K55" s="86"/>
      <c r="L55" s="284">
        <f>'MDA FGD'!$M72</f>
        <v>207402597</v>
      </c>
      <c r="M55" s="86"/>
      <c r="N55" s="284">
        <f>'THC FGD'!$M72</f>
        <v>10216797</v>
      </c>
      <c r="O55" s="86"/>
      <c r="P55" s="284">
        <f>'TAMHSC FGD'!$M72</f>
        <v>23594253</v>
      </c>
      <c r="Q55" s="86"/>
      <c r="R55" s="284">
        <f>'UNTHSC FGD'!$M72</f>
        <v>13375730</v>
      </c>
      <c r="S55" s="86"/>
      <c r="T55" s="284">
        <f>'TTUHSC FGD'!$M72</f>
        <v>27095077</v>
      </c>
      <c r="U55" s="86"/>
      <c r="V55" s="284">
        <f>'TTUHSCEP FGD'!$M72</f>
        <v>10519841</v>
      </c>
      <c r="W55" s="86"/>
      <c r="X55" s="284">
        <f>'AUSM FGD'!$M72</f>
        <v>12533378</v>
      </c>
      <c r="Y55" s="86"/>
      <c r="Z55" s="284">
        <f>'RGVM FGD'!$M72</f>
        <v>4098636</v>
      </c>
      <c r="AA55" s="86"/>
      <c r="AB55" s="85"/>
      <c r="AC55" s="85"/>
      <c r="AD55" s="85"/>
      <c r="AE55" s="85"/>
      <c r="AF55" s="85"/>
      <c r="AG55" s="85"/>
      <c r="AH55" s="85"/>
      <c r="AI55" s="85"/>
      <c r="AJ55" s="85"/>
      <c r="AK55" s="85"/>
      <c r="AL55" s="85"/>
    </row>
    <row r="56" spans="1:38">
      <c r="A56" s="95" t="s">
        <v>21</v>
      </c>
      <c r="B56" s="284">
        <f t="shared" si="32"/>
        <v>38750602</v>
      </c>
      <c r="C56" s="86">
        <f t="shared" si="33"/>
        <v>1404</v>
      </c>
      <c r="D56" s="284">
        <f>'SWM FGD'!$M73</f>
        <v>4460128</v>
      </c>
      <c r="E56" s="86">
        <f t="shared" si="34"/>
        <v>2059</v>
      </c>
      <c r="F56" s="284">
        <f>'MBG FGD'!$M73</f>
        <v>8013307</v>
      </c>
      <c r="G56" s="86">
        <f t="shared" si="35"/>
        <v>2169</v>
      </c>
      <c r="H56" s="284">
        <f>'HSH FGD'!$M73</f>
        <v>9668012</v>
      </c>
      <c r="I56" s="86">
        <f t="shared" si="36"/>
        <v>1978</v>
      </c>
      <c r="J56" s="284">
        <f>'HSSA FGD'!$M73</f>
        <v>4882941</v>
      </c>
      <c r="K56" s="86">
        <f t="shared" si="37"/>
        <v>1276</v>
      </c>
      <c r="L56" s="284">
        <f>'MDA FGD'!$M73</f>
        <v>2812722</v>
      </c>
      <c r="M56" s="86"/>
      <c r="N56" s="284">
        <f>'THC FGD'!$M73</f>
        <v>35175</v>
      </c>
      <c r="O56" s="86"/>
      <c r="P56" s="284">
        <f>'TAMHSC FGD'!$M73</f>
        <v>2052675</v>
      </c>
      <c r="Q56" s="86">
        <f t="shared" si="38"/>
        <v>659</v>
      </c>
      <c r="R56" s="284">
        <f>'UNTHSC FGD'!$M73</f>
        <v>546507</v>
      </c>
      <c r="S56" s="86">
        <f t="shared" si="39"/>
        <v>193</v>
      </c>
      <c r="T56" s="284">
        <f>'TTUHSC FGD'!$M73</f>
        <v>3308985</v>
      </c>
      <c r="U56" s="86">
        <f t="shared" si="40"/>
        <v>577</v>
      </c>
      <c r="V56" s="284">
        <f>'TTUHSCEP FGD'!$M73</f>
        <v>713519</v>
      </c>
      <c r="W56" s="86">
        <f t="shared" ref="W56" si="43">ROUND(V56/W$6,0)</f>
        <v>968</v>
      </c>
      <c r="X56" s="284">
        <f>'AUSM FGD'!$M73</f>
        <v>1209635</v>
      </c>
      <c r="Y56" s="86"/>
      <c r="Z56" s="284">
        <f>'RGVM FGD'!$M73</f>
        <v>1046996</v>
      </c>
      <c r="AA56" s="86"/>
      <c r="AB56" s="85"/>
      <c r="AC56" s="85"/>
      <c r="AD56" s="85"/>
      <c r="AE56" s="85"/>
      <c r="AF56" s="85"/>
      <c r="AG56" s="85"/>
      <c r="AH56" s="85"/>
      <c r="AI56" s="85"/>
      <c r="AJ56" s="85"/>
      <c r="AK56" s="85"/>
      <c r="AL56" s="85"/>
    </row>
    <row r="57" spans="1:38">
      <c r="A57" s="95" t="s">
        <v>1363</v>
      </c>
      <c r="B57" s="284">
        <f t="shared" si="32"/>
        <v>88055035</v>
      </c>
      <c r="C57" s="86"/>
      <c r="D57" s="284">
        <f>'SWM FGD'!$M74</f>
        <v>24066743</v>
      </c>
      <c r="E57" s="86"/>
      <c r="F57" s="284">
        <f>'MBG FGD'!$M74</f>
        <v>11935905</v>
      </c>
      <c r="G57" s="86"/>
      <c r="H57" s="284">
        <f>'HSH FGD'!$M74</f>
        <v>17062069</v>
      </c>
      <c r="I57" s="86"/>
      <c r="J57" s="284">
        <f>'HSSA FGD'!$M74</f>
        <v>5845168</v>
      </c>
      <c r="K57" s="86"/>
      <c r="L57" s="284">
        <f>'MDA FGD'!$M74</f>
        <v>22631517</v>
      </c>
      <c r="M57" s="86"/>
      <c r="N57" s="284">
        <f>'THC FGD'!$M74</f>
        <v>144548</v>
      </c>
      <c r="O57" s="86"/>
      <c r="P57" s="284">
        <f>'TAMHSC FGD'!$M74</f>
        <v>2615622</v>
      </c>
      <c r="Q57" s="86"/>
      <c r="R57" s="284">
        <f>'UNTHSC FGD'!$M74</f>
        <v>484952</v>
      </c>
      <c r="S57" s="86"/>
      <c r="T57" s="284">
        <f>'TTUHSC FGD'!$M74</f>
        <v>456145</v>
      </c>
      <c r="U57" s="86"/>
      <c r="V57" s="284">
        <f>'TTUHSCEP FGD'!$M74</f>
        <v>216044</v>
      </c>
      <c r="W57" s="86"/>
      <c r="X57" s="284">
        <f>'AUSM FGD'!$M74</f>
        <v>2596322</v>
      </c>
      <c r="Y57" s="86"/>
      <c r="Z57" s="284">
        <f>'RGVM FGD'!$M74</f>
        <v>0</v>
      </c>
      <c r="AA57" s="86"/>
      <c r="AB57" s="85"/>
      <c r="AC57" s="85"/>
      <c r="AD57" s="85"/>
      <c r="AE57" s="85"/>
      <c r="AF57" s="85"/>
      <c r="AG57" s="85"/>
      <c r="AH57" s="85"/>
      <c r="AI57" s="85"/>
      <c r="AJ57" s="85"/>
      <c r="AK57" s="85"/>
      <c r="AL57" s="85"/>
    </row>
    <row r="58" spans="1:38">
      <c r="A58" s="95" t="s">
        <v>65</v>
      </c>
      <c r="B58" s="284">
        <f t="shared" si="32"/>
        <v>175715057</v>
      </c>
      <c r="C58" s="86">
        <f t="shared" si="33"/>
        <v>6364</v>
      </c>
      <c r="D58" s="284">
        <f>'SWM FGD'!$M75</f>
        <v>14443657</v>
      </c>
      <c r="E58" s="86">
        <f t="shared" si="34"/>
        <v>6666</v>
      </c>
      <c r="F58" s="284">
        <f>'MBG FGD'!$M75</f>
        <v>18641466</v>
      </c>
      <c r="G58" s="86">
        <f t="shared" si="35"/>
        <v>5047</v>
      </c>
      <c r="H58" s="284">
        <f>'HSH FGD'!$M75</f>
        <v>14064666</v>
      </c>
      <c r="I58" s="86">
        <f t="shared" si="36"/>
        <v>2877</v>
      </c>
      <c r="J58" s="284">
        <f>'HSSA FGD'!$M75</f>
        <v>28235559</v>
      </c>
      <c r="K58" s="86">
        <f t="shared" si="37"/>
        <v>7376</v>
      </c>
      <c r="L58" s="284">
        <f>'MDA FGD'!$M75</f>
        <v>81859203</v>
      </c>
      <c r="M58" s="86"/>
      <c r="N58" s="284">
        <f>'THC FGD'!$M75</f>
        <v>1343524</v>
      </c>
      <c r="O58" s="86"/>
      <c r="P58" s="284">
        <f>'TAMHSC FGD'!$M75</f>
        <v>3764136</v>
      </c>
      <c r="Q58" s="86">
        <f t="shared" si="38"/>
        <v>1209</v>
      </c>
      <c r="R58" s="284">
        <f>'UNTHSC FGD'!$M75</f>
        <v>5853999</v>
      </c>
      <c r="S58" s="86">
        <f t="shared" si="39"/>
        <v>2064</v>
      </c>
      <c r="T58" s="284">
        <f>'TTUHSC FGD'!$M75</f>
        <v>4050982</v>
      </c>
      <c r="U58" s="86">
        <f t="shared" si="40"/>
        <v>706</v>
      </c>
      <c r="V58" s="284">
        <f>'TTUHSCEP FGD'!$M75</f>
        <v>1515069</v>
      </c>
      <c r="W58" s="86">
        <f t="shared" ref="W58" si="44">ROUND(V58/W$6,0)</f>
        <v>2055</v>
      </c>
      <c r="X58" s="284">
        <f>'AUSM FGD'!$M75</f>
        <v>1390216</v>
      </c>
      <c r="Y58" s="86"/>
      <c r="Z58" s="284">
        <f>'RGVM FGD'!$M75</f>
        <v>552580</v>
      </c>
      <c r="AA58" s="86"/>
      <c r="AB58" s="85"/>
      <c r="AC58" s="85"/>
      <c r="AD58" s="85"/>
      <c r="AE58" s="85"/>
      <c r="AF58" s="85"/>
      <c r="AG58" s="85"/>
      <c r="AH58" s="85"/>
      <c r="AI58" s="85"/>
      <c r="AJ58" s="85"/>
      <c r="AK58" s="85"/>
      <c r="AL58" s="85"/>
    </row>
    <row r="59" spans="1:38">
      <c r="A59" s="74" t="s">
        <v>47</v>
      </c>
      <c r="B59" s="284">
        <f t="shared" si="32"/>
        <v>26049887</v>
      </c>
      <c r="C59" s="86"/>
      <c r="D59" s="284">
        <f>'SWM FGD'!$M76</f>
        <v>7759542</v>
      </c>
      <c r="E59" s="86"/>
      <c r="F59" s="284">
        <f>'MBG FGD'!$M76</f>
        <v>4064781</v>
      </c>
      <c r="G59" s="86"/>
      <c r="H59" s="284">
        <f>'HSH FGD'!$M76</f>
        <v>2951837</v>
      </c>
      <c r="I59" s="86"/>
      <c r="J59" s="284">
        <f>'HSSA FGD'!$M76</f>
        <v>5867887</v>
      </c>
      <c r="K59" s="86"/>
      <c r="L59" s="284">
        <f>'MDA FGD'!$M76</f>
        <v>3942822</v>
      </c>
      <c r="M59" s="86"/>
      <c r="N59" s="284">
        <f>'THC FGD'!$M76</f>
        <v>0</v>
      </c>
      <c r="O59" s="86"/>
      <c r="P59" s="284">
        <f>'TAMHSC FGD'!$M76</f>
        <v>871745</v>
      </c>
      <c r="Q59" s="86"/>
      <c r="R59" s="284">
        <f>'UNTHSC FGD'!$M76</f>
        <v>102396</v>
      </c>
      <c r="S59" s="86"/>
      <c r="T59" s="284">
        <f>'TTUHSC FGD'!$M76</f>
        <v>488877</v>
      </c>
      <c r="U59" s="86"/>
      <c r="V59" s="284">
        <f>'TTUHSCEP FGD'!$M76</f>
        <v>0</v>
      </c>
      <c r="W59" s="86"/>
      <c r="X59" s="284">
        <f>'AUSM FGD'!$M76</f>
        <v>0</v>
      </c>
      <c r="Y59" s="86"/>
      <c r="Z59" s="284">
        <f>'RGVM FGD'!$M76</f>
        <v>0</v>
      </c>
      <c r="AA59" s="86"/>
      <c r="AB59" s="89"/>
      <c r="AC59" s="89"/>
      <c r="AD59" s="89"/>
      <c r="AE59" s="89"/>
      <c r="AF59" s="89"/>
      <c r="AG59" s="89"/>
      <c r="AH59" s="89"/>
      <c r="AI59" s="89"/>
      <c r="AJ59" s="89"/>
      <c r="AK59" s="89"/>
      <c r="AL59" s="89"/>
    </row>
    <row r="60" spans="1:38">
      <c r="A60" s="97" t="s">
        <v>72</v>
      </c>
      <c r="B60" s="48">
        <f t="shared" ref="B60:T60" si="45">SUM(B48:B59)</f>
        <v>13166155177</v>
      </c>
      <c r="C60" s="48"/>
      <c r="D60" s="48">
        <f t="shared" si="45"/>
        <v>2790112566</v>
      </c>
      <c r="E60" s="48"/>
      <c r="F60" s="48">
        <f t="shared" si="45"/>
        <v>1986819425</v>
      </c>
      <c r="G60" s="48"/>
      <c r="H60" s="48">
        <f t="shared" si="45"/>
        <v>1607525824</v>
      </c>
      <c r="I60" s="48"/>
      <c r="J60" s="48">
        <f t="shared" si="45"/>
        <v>843744577</v>
      </c>
      <c r="K60" s="48"/>
      <c r="L60" s="48">
        <f t="shared" si="45"/>
        <v>4159108973</v>
      </c>
      <c r="M60" s="48"/>
      <c r="N60" s="48">
        <f t="shared" si="45"/>
        <v>213255655</v>
      </c>
      <c r="O60" s="48">
        <f t="shared" si="45"/>
        <v>0</v>
      </c>
      <c r="P60" s="48">
        <f t="shared" si="45"/>
        <v>282236219</v>
      </c>
      <c r="Q60" s="48"/>
      <c r="R60" s="48">
        <f t="shared" si="45"/>
        <v>214835327</v>
      </c>
      <c r="S60" s="48"/>
      <c r="T60" s="48">
        <f t="shared" si="45"/>
        <v>645202150</v>
      </c>
      <c r="U60" s="48"/>
      <c r="V60" s="48">
        <f t="shared" ref="V60" si="46">SUM(V48:V59)</f>
        <v>220337013</v>
      </c>
      <c r="W60" s="48"/>
      <c r="X60" s="48">
        <f t="shared" ref="X60" si="47">SUM(X48:X59)</f>
        <v>124105457</v>
      </c>
      <c r="Y60" s="48"/>
      <c r="Z60" s="48">
        <f t="shared" ref="Z60" si="48">SUM(Z48:Z59)</f>
        <v>78871991</v>
      </c>
      <c r="AA60" s="48"/>
      <c r="AB60" s="85"/>
      <c r="AC60" s="85"/>
      <c r="AD60" s="85"/>
      <c r="AE60" s="85"/>
      <c r="AF60" s="85"/>
      <c r="AG60" s="85"/>
      <c r="AH60" s="85"/>
      <c r="AI60" s="85"/>
      <c r="AJ60" s="85"/>
      <c r="AK60" s="85"/>
      <c r="AL60" s="85"/>
    </row>
    <row r="61" spans="1:38">
      <c r="A61" s="92"/>
      <c r="B61" s="91" t="str">
        <f>IF(B60&lt;&gt;'Smmy Sum'!B66,"Error","")</f>
        <v/>
      </c>
      <c r="C61" s="91"/>
      <c r="D61" s="91" t="str">
        <f>IF(D60&lt;&gt;'SWM FGD'!$M77,"Error","")</f>
        <v/>
      </c>
      <c r="E61" s="91"/>
      <c r="F61" s="91" t="str">
        <f>IF(F60&lt;&gt;'MBG FGD'!$M77,"Error","")</f>
        <v/>
      </c>
      <c r="G61" s="91"/>
      <c r="H61" s="91" t="str">
        <f>IF(H60&lt;&gt;'HSH FGD'!$M77,"Error","")</f>
        <v/>
      </c>
      <c r="I61" s="91"/>
      <c r="J61" s="91" t="str">
        <f>IF(J60&lt;&gt;'HSSA FGD'!$M77,"Error","")</f>
        <v/>
      </c>
      <c r="K61" s="91"/>
      <c r="L61" s="91" t="str">
        <f>IF(L60&lt;&gt;'MDA FGD'!$M77,"Error","")</f>
        <v/>
      </c>
      <c r="M61" s="91" t="str">
        <f>IF(M60&lt;&gt;'MDA Sum'!$C54,"Error","")</f>
        <v/>
      </c>
      <c r="N61" s="91" t="str">
        <f>IF(N60&lt;&gt;'THC FGD'!$M77,"Error","")</f>
        <v/>
      </c>
      <c r="O61" s="91" t="str">
        <f>IF(O60&lt;&gt;'THC Sum'!$C62,"Error","")</f>
        <v/>
      </c>
      <c r="P61" s="91" t="str">
        <f>IF(P60&lt;&gt;'TAMHSC FGD'!$M77,"Error","")</f>
        <v/>
      </c>
      <c r="Q61" s="91"/>
      <c r="R61" s="91" t="str">
        <f>IF(R60&lt;&gt;'UNTHSC FGD'!$M77,"Error","")</f>
        <v/>
      </c>
      <c r="S61" s="91"/>
      <c r="T61" s="91" t="str">
        <f>IF(T60&lt;&gt;'TTUHSC FGD'!$M77,"Error","")</f>
        <v/>
      </c>
      <c r="U61" s="91"/>
      <c r="V61" s="91" t="str">
        <f>IF(V60&lt;&gt;'TTUHSCEP FGD'!$M77,"Error","")</f>
        <v/>
      </c>
      <c r="W61" s="91"/>
      <c r="X61" s="91" t="str">
        <f>IF(X60&lt;&gt;'AUSM FGD'!$M77,"Error","")</f>
        <v/>
      </c>
      <c r="Y61" s="91"/>
      <c r="Z61" s="91" t="str">
        <f>IF(Z60&lt;&gt;'RGVM FGD'!$M77,"Error","")</f>
        <v/>
      </c>
      <c r="AA61" s="91"/>
    </row>
    <row r="62" spans="1:38">
      <c r="A62" s="78" t="s">
        <v>23</v>
      </c>
      <c r="B62" s="82"/>
      <c r="D62" s="82"/>
      <c r="F62" s="82"/>
      <c r="H62" s="82"/>
      <c r="J62" s="82"/>
      <c r="L62" s="82"/>
      <c r="N62" s="82"/>
      <c r="P62" s="82"/>
      <c r="R62" s="82"/>
      <c r="T62" s="82"/>
      <c r="V62" s="82"/>
      <c r="X62" s="82"/>
      <c r="Z62" s="82"/>
      <c r="AB62" s="89"/>
      <c r="AC62" s="89"/>
      <c r="AD62" s="89"/>
      <c r="AE62" s="89"/>
      <c r="AF62" s="89"/>
      <c r="AG62" s="89"/>
      <c r="AH62" s="89"/>
      <c r="AI62" s="89"/>
      <c r="AJ62" s="89"/>
      <c r="AK62" s="89"/>
      <c r="AL62" s="89"/>
    </row>
    <row r="63" spans="1:38">
      <c r="A63" s="74" t="s">
        <v>66</v>
      </c>
      <c r="B63" s="83">
        <f t="shared" ref="B63:B66" si="49">SUMIF(D$77:AA$77,$B$77,D63:AA63)</f>
        <v>-1198375886</v>
      </c>
      <c r="C63" s="83"/>
      <c r="D63" s="83">
        <f>'SWM FGD'!$M80</f>
        <v>-255246721</v>
      </c>
      <c r="E63" s="83"/>
      <c r="F63" s="83">
        <f>'MBG FGD'!$M80</f>
        <v>-288711367</v>
      </c>
      <c r="G63" s="83"/>
      <c r="H63" s="83">
        <f>'HSH FGD'!$M80</f>
        <v>-60822385</v>
      </c>
      <c r="I63" s="83"/>
      <c r="J63" s="83">
        <f>'HSSA FGD'!$M80</f>
        <v>-81094986</v>
      </c>
      <c r="K63" s="83"/>
      <c r="L63" s="83">
        <f>'MDA FGD'!$M80</f>
        <v>-290306993</v>
      </c>
      <c r="M63" s="83"/>
      <c r="N63" s="83">
        <f>'THC FGD'!$M80</f>
        <v>-31128291</v>
      </c>
      <c r="O63" s="83"/>
      <c r="P63" s="83">
        <f>'TAMHSC FGD'!$M80</f>
        <v>-157046</v>
      </c>
      <c r="Q63" s="83"/>
      <c r="R63" s="83">
        <f>'UNTHSC FGD'!$M80</f>
        <v>-69392043</v>
      </c>
      <c r="S63" s="83"/>
      <c r="T63" s="83">
        <f>'TTUHSC FGD'!$M80</f>
        <v>-56086071</v>
      </c>
      <c r="U63" s="83"/>
      <c r="V63" s="83">
        <f>'TTUHSCEP FGD'!$M80</f>
        <v>-27703730</v>
      </c>
      <c r="W63" s="83"/>
      <c r="X63" s="83">
        <f>'AUSM FGD'!$M80</f>
        <v>-32010379</v>
      </c>
      <c r="Y63" s="83"/>
      <c r="Z63" s="83">
        <f>'RGVM FGD'!$M80</f>
        <v>-5715874</v>
      </c>
      <c r="AA63" s="83"/>
      <c r="AB63" s="89"/>
      <c r="AC63" s="89"/>
      <c r="AD63" s="89"/>
      <c r="AE63" s="89"/>
      <c r="AF63" s="89"/>
      <c r="AG63" s="89"/>
      <c r="AH63" s="89"/>
      <c r="AI63" s="89"/>
      <c r="AJ63" s="89"/>
      <c r="AK63" s="89"/>
      <c r="AL63" s="89"/>
    </row>
    <row r="64" spans="1:38">
      <c r="A64" s="74" t="s">
        <v>614</v>
      </c>
      <c r="B64" s="82">
        <f t="shared" si="49"/>
        <v>152441870</v>
      </c>
      <c r="C64" s="86"/>
      <c r="D64" s="82">
        <f>'SWM FGD'!$M81</f>
        <v>5145284</v>
      </c>
      <c r="E64" s="86"/>
      <c r="F64" s="82">
        <f>'MBG FGD'!$M81</f>
        <v>937089</v>
      </c>
      <c r="G64" s="86"/>
      <c r="H64" s="82">
        <f>'HSH FGD'!$M81</f>
        <v>2204215</v>
      </c>
      <c r="I64" s="86"/>
      <c r="J64" s="82">
        <f>'HSSA FGD'!$M81</f>
        <v>2320378</v>
      </c>
      <c r="K64" s="86"/>
      <c r="L64" s="82">
        <f>'MDA FGD'!$M81</f>
        <v>54971067</v>
      </c>
      <c r="M64" s="86"/>
      <c r="N64" s="82">
        <f>'THC FGD'!$M81</f>
        <v>214384</v>
      </c>
      <c r="O64" s="86"/>
      <c r="P64" s="82">
        <f>'TAMHSC FGD'!$M81</f>
        <v>-9235016</v>
      </c>
      <c r="Q64" s="86"/>
      <c r="R64" s="82">
        <f>'UNTHSC FGD'!$M81</f>
        <v>117168982</v>
      </c>
      <c r="S64" s="86"/>
      <c r="T64" s="82">
        <f>'TTUHSC FGD'!$M81</f>
        <v>633568</v>
      </c>
      <c r="U64" s="86"/>
      <c r="V64" s="82">
        <f>'TTUHSCEP FGD'!$M81</f>
        <v>2125587</v>
      </c>
      <c r="W64" s="86"/>
      <c r="X64" s="82">
        <f>'AUSM FGD'!$M81</f>
        <v>-23909155</v>
      </c>
      <c r="Y64" s="86"/>
      <c r="Z64" s="82">
        <f>'RGVM FGD'!$M81</f>
        <v>-134513</v>
      </c>
      <c r="AA64" s="86"/>
      <c r="AB64" s="85"/>
      <c r="AC64" s="85"/>
      <c r="AD64" s="85"/>
      <c r="AE64" s="85"/>
      <c r="AF64" s="85"/>
      <c r="AG64" s="85"/>
      <c r="AH64" s="85"/>
      <c r="AI64" s="85"/>
      <c r="AJ64" s="85"/>
      <c r="AK64" s="85"/>
      <c r="AL64" s="85"/>
    </row>
    <row r="65" spans="1:38">
      <c r="A65" s="74" t="s">
        <v>172</v>
      </c>
      <c r="B65" s="82">
        <f t="shared" si="49"/>
        <v>512585065</v>
      </c>
      <c r="C65" s="86"/>
      <c r="D65" s="82">
        <f>'SWM FGD'!$M82</f>
        <v>93897679</v>
      </c>
      <c r="E65" s="86"/>
      <c r="F65" s="82">
        <f>'MBG FGD'!$M82</f>
        <v>140645940</v>
      </c>
      <c r="G65" s="86"/>
      <c r="H65" s="82">
        <f>'HSH FGD'!$M82</f>
        <v>29186732</v>
      </c>
      <c r="I65" s="86"/>
      <c r="J65" s="82">
        <f>'HSSA FGD'!$M82</f>
        <v>70419687</v>
      </c>
      <c r="K65" s="86"/>
      <c r="L65" s="82">
        <f>'MDA FGD'!$M82</f>
        <v>55322379</v>
      </c>
      <c r="M65" s="86"/>
      <c r="N65" s="82">
        <f>'THC FGD'!$M82</f>
        <v>32034979</v>
      </c>
      <c r="O65" s="86"/>
      <c r="P65" s="82">
        <f>'TAMHSC FGD'!$M82</f>
        <v>0</v>
      </c>
      <c r="Q65" s="86"/>
      <c r="R65" s="82">
        <f>'UNTHSC FGD'!$M82</f>
        <v>0</v>
      </c>
      <c r="S65" s="86"/>
      <c r="T65" s="82">
        <f>'TTUHSC FGD'!$M82</f>
        <v>37138691</v>
      </c>
      <c r="U65" s="86"/>
      <c r="V65" s="82">
        <f>'TTUHSCEP FGD'!$M82</f>
        <v>26692305</v>
      </c>
      <c r="W65" s="86"/>
      <c r="X65" s="82">
        <f>'AUSM FGD'!$M82</f>
        <v>6200000</v>
      </c>
      <c r="Y65" s="86"/>
      <c r="Z65" s="82">
        <f>'RGVM FGD'!$M82</f>
        <v>21046673</v>
      </c>
      <c r="AA65" s="86"/>
      <c r="AB65" s="85"/>
      <c r="AC65" s="85"/>
      <c r="AD65" s="85"/>
      <c r="AE65" s="85"/>
      <c r="AF65" s="85"/>
      <c r="AG65" s="85"/>
      <c r="AH65" s="85"/>
      <c r="AI65" s="85"/>
      <c r="AJ65" s="85"/>
      <c r="AK65" s="85"/>
      <c r="AL65" s="85"/>
    </row>
    <row r="66" spans="1:38" ht="12" customHeight="1">
      <c r="A66" s="74" t="s">
        <v>43</v>
      </c>
      <c r="B66" s="82">
        <f t="shared" si="49"/>
        <v>-418600076</v>
      </c>
      <c r="C66" s="86"/>
      <c r="D66" s="82">
        <f>'SWM FGD'!$M83</f>
        <v>-101745766</v>
      </c>
      <c r="E66" s="86"/>
      <c r="F66" s="82">
        <f>'MBG FGD'!$M83</f>
        <v>-84310083</v>
      </c>
      <c r="G66" s="86"/>
      <c r="H66" s="82">
        <f>'HSH FGD'!$M83</f>
        <v>-31448050</v>
      </c>
      <c r="I66" s="86"/>
      <c r="J66" s="82">
        <f>'HSSA FGD'!$M83</f>
        <v>-30480757</v>
      </c>
      <c r="K66" s="86"/>
      <c r="L66" s="82">
        <f>'MDA FGD'!$M83</f>
        <v>-88726782</v>
      </c>
      <c r="M66" s="86"/>
      <c r="N66" s="82">
        <f>'THC FGD'!$M83</f>
        <v>-7700545</v>
      </c>
      <c r="O66" s="86"/>
      <c r="P66" s="82">
        <f>'TAMHSC FGD'!$M83</f>
        <v>-21613244</v>
      </c>
      <c r="Q66" s="86"/>
      <c r="R66" s="82">
        <f>'UNTHSC FGD'!$M83</f>
        <v>-3110650</v>
      </c>
      <c r="S66" s="86"/>
      <c r="T66" s="82">
        <f>'TTUHSC FGD'!$M83</f>
        <v>-13989425</v>
      </c>
      <c r="U66" s="86"/>
      <c r="V66" s="82">
        <f>'TTUHSCEP FGD'!$M83</f>
        <v>-12509606</v>
      </c>
      <c r="W66" s="86"/>
      <c r="X66" s="82">
        <f>'AUSM FGD'!$M83</f>
        <v>-22965168</v>
      </c>
      <c r="Y66" s="86"/>
      <c r="Z66" s="82">
        <f>'RGVM FGD'!$M83</f>
        <v>0</v>
      </c>
      <c r="AA66" s="86"/>
      <c r="AB66" s="89"/>
      <c r="AC66" s="89"/>
      <c r="AD66" s="89"/>
      <c r="AE66" s="89"/>
      <c r="AF66" s="89"/>
      <c r="AG66" s="89"/>
      <c r="AH66" s="89"/>
      <c r="AI66" s="89"/>
      <c r="AJ66" s="89"/>
      <c r="AK66" s="89"/>
      <c r="AL66" s="89"/>
    </row>
    <row r="67" spans="1:38">
      <c r="A67" s="87" t="s">
        <v>3</v>
      </c>
      <c r="B67" s="88">
        <f t="shared" ref="B67:D67" si="50">SUM(B63:B66)</f>
        <v>-951949027</v>
      </c>
      <c r="C67" s="88"/>
      <c r="D67" s="88">
        <f t="shared" si="50"/>
        <v>-257949524</v>
      </c>
      <c r="E67" s="88"/>
      <c r="F67" s="88">
        <f t="shared" ref="F67:T67" si="51">SUM(F63:F66)</f>
        <v>-231438421</v>
      </c>
      <c r="G67" s="88"/>
      <c r="H67" s="88">
        <f t="shared" si="51"/>
        <v>-60879488</v>
      </c>
      <c r="I67" s="88"/>
      <c r="J67" s="88">
        <f t="shared" si="51"/>
        <v>-38835678</v>
      </c>
      <c r="K67" s="88"/>
      <c r="L67" s="88">
        <f t="shared" si="51"/>
        <v>-268740329</v>
      </c>
      <c r="M67" s="88"/>
      <c r="N67" s="88">
        <f t="shared" si="51"/>
        <v>-6579473</v>
      </c>
      <c r="O67" s="88"/>
      <c r="P67" s="88">
        <f t="shared" si="51"/>
        <v>-31005306</v>
      </c>
      <c r="Q67" s="88"/>
      <c r="R67" s="88">
        <f t="shared" si="51"/>
        <v>44666289</v>
      </c>
      <c r="S67" s="88"/>
      <c r="T67" s="88">
        <f t="shared" si="51"/>
        <v>-32303237</v>
      </c>
      <c r="U67" s="88"/>
      <c r="V67" s="88">
        <f t="shared" ref="V67" si="52">SUM(V63:V66)</f>
        <v>-11395444</v>
      </c>
      <c r="W67" s="88"/>
      <c r="X67" s="88">
        <f t="shared" ref="X67" si="53">SUM(X63:X66)</f>
        <v>-72684702</v>
      </c>
      <c r="Y67" s="88"/>
      <c r="Z67" s="88">
        <f t="shared" ref="Z67" si="54">SUM(Z63:Z66)</f>
        <v>15196286</v>
      </c>
      <c r="AA67" s="88"/>
      <c r="AB67" s="85"/>
      <c r="AC67" s="85"/>
      <c r="AD67" s="85"/>
      <c r="AE67" s="85"/>
      <c r="AF67" s="85"/>
      <c r="AG67" s="85"/>
      <c r="AH67" s="85"/>
      <c r="AI67" s="85"/>
      <c r="AJ67" s="85"/>
      <c r="AK67" s="85"/>
      <c r="AL67" s="85"/>
    </row>
    <row r="68" spans="1:38">
      <c r="B68" s="91" t="str">
        <f>IF(B67&lt;&gt;'Smmy Sum'!B73,"Error","")</f>
        <v/>
      </c>
      <c r="C68" s="91"/>
      <c r="D68" s="91" t="str">
        <f>IF(D67&lt;&gt;'SWM FGD'!$M84,"Error","")</f>
        <v/>
      </c>
      <c r="E68" s="91"/>
      <c r="F68" s="91" t="str">
        <f>IF(F67&lt;&gt;'MBG FGD'!$M84,"Error","")</f>
        <v/>
      </c>
      <c r="G68" s="91"/>
      <c r="H68" s="91" t="str">
        <f>IF(H67&lt;&gt;'HSH FGD'!$M84,"Error","")</f>
        <v/>
      </c>
      <c r="I68" s="91"/>
      <c r="J68" s="91" t="str">
        <f>IF(J67&lt;&gt;'HSSA FGD'!$M84,"Error","")</f>
        <v/>
      </c>
      <c r="K68" s="91"/>
      <c r="L68" s="91" t="str">
        <f>IF(L67&lt;&gt;'MDA FGD'!$M84,"Error","")</f>
        <v/>
      </c>
      <c r="M68" s="91"/>
      <c r="N68" s="91" t="str">
        <f>IF(N67&lt;&gt;'THC FGD'!$M84,"Error","")</f>
        <v/>
      </c>
      <c r="O68" s="91"/>
      <c r="P68" s="91" t="str">
        <f>IF(P67&lt;&gt;'TAMHSC FGD'!$M84,"Error","")</f>
        <v/>
      </c>
      <c r="Q68" s="91"/>
      <c r="R68" s="91" t="str">
        <f>IF(R67&lt;&gt;'UNTHSC FGD'!$M84,"Error","")</f>
        <v/>
      </c>
      <c r="S68" s="91"/>
      <c r="T68" s="91" t="str">
        <f>IF(T67&lt;&gt;'TTUHSC FGD'!$M84,"Error","")</f>
        <v/>
      </c>
      <c r="U68" s="91"/>
      <c r="V68" s="91" t="str">
        <f>IF(V67&lt;&gt;'TTUHSCEP FGD'!$M84,"Error","")</f>
        <v/>
      </c>
      <c r="W68" s="91"/>
      <c r="X68" s="91" t="str">
        <f>IF(X67&lt;&gt;'AUSM FGD'!$M84,"Error","")</f>
        <v/>
      </c>
      <c r="Y68" s="91"/>
      <c r="Z68" s="91" t="str">
        <f>IF(Z67&lt;&gt;'RGVM FGD'!$M84,"Error","")</f>
        <v/>
      </c>
      <c r="AA68" s="91"/>
    </row>
    <row r="69" spans="1:38">
      <c r="A69" s="78" t="s">
        <v>24</v>
      </c>
      <c r="B69" s="82"/>
      <c r="D69" s="82"/>
      <c r="F69" s="82"/>
      <c r="H69" s="82"/>
      <c r="J69" s="82"/>
      <c r="L69" s="82"/>
      <c r="N69" s="82"/>
      <c r="P69" s="82"/>
      <c r="R69" s="82"/>
      <c r="T69" s="82"/>
      <c r="V69" s="82"/>
      <c r="X69" s="82"/>
      <c r="Z69" s="82"/>
      <c r="AB69" s="89"/>
      <c r="AC69" s="89"/>
      <c r="AD69" s="89"/>
      <c r="AE69" s="89"/>
      <c r="AF69" s="89"/>
      <c r="AG69" s="89"/>
      <c r="AH69" s="89"/>
      <c r="AI69" s="89"/>
      <c r="AJ69" s="89"/>
      <c r="AK69" s="89"/>
      <c r="AL69" s="89"/>
    </row>
    <row r="70" spans="1:38">
      <c r="A70" s="74" t="s">
        <v>44</v>
      </c>
      <c r="B70" s="83">
        <f t="shared" ref="B70:B71" si="55">SUMIF(D$77:AA$77,$B$77,D70:AA70)</f>
        <v>181013517</v>
      </c>
      <c r="C70" s="83"/>
      <c r="D70" s="83">
        <f>'SWM FGD'!$M87</f>
        <v>39942270</v>
      </c>
      <c r="E70" s="83"/>
      <c r="F70" s="83">
        <f>'MBG FGD'!$M87</f>
        <v>26768238</v>
      </c>
      <c r="G70" s="83"/>
      <c r="H70" s="83">
        <f>'HSH FGD'!$M87</f>
        <v>10585431</v>
      </c>
      <c r="I70" s="83"/>
      <c r="J70" s="83">
        <f>'HSSA FGD'!$M87</f>
        <v>26096012</v>
      </c>
      <c r="K70" s="83"/>
      <c r="L70" s="83">
        <f>'MDA FGD'!$M87</f>
        <v>64278312</v>
      </c>
      <c r="M70" s="83"/>
      <c r="N70" s="83">
        <f>'THC FGD'!$M87</f>
        <v>2382866</v>
      </c>
      <c r="O70" s="83"/>
      <c r="P70" s="83">
        <f>'TAMHSC FGD'!$M87</f>
        <v>4668422</v>
      </c>
      <c r="Q70" s="83"/>
      <c r="R70" s="83">
        <f>'UNTHSC FGD'!$M87</f>
        <v>366464</v>
      </c>
      <c r="S70" s="83"/>
      <c r="T70" s="83">
        <f>'TTUHSC FGD'!$M87</f>
        <v>3008480</v>
      </c>
      <c r="U70" s="83"/>
      <c r="V70" s="83">
        <f>'TTUHSCEP FGD'!$M87</f>
        <v>2195474</v>
      </c>
      <c r="W70" s="83"/>
      <c r="X70" s="83">
        <f>'AUSM FGD'!$M87</f>
        <v>706297</v>
      </c>
      <c r="Y70" s="83"/>
      <c r="Z70" s="83">
        <f>'RGVM FGD'!$M87</f>
        <v>15251</v>
      </c>
      <c r="AA70" s="83"/>
      <c r="AB70" s="85"/>
      <c r="AC70" s="85"/>
      <c r="AD70" s="85"/>
      <c r="AE70" s="85"/>
      <c r="AF70" s="85"/>
      <c r="AG70" s="85"/>
      <c r="AH70" s="85"/>
      <c r="AI70" s="85"/>
      <c r="AJ70" s="85"/>
      <c r="AK70" s="85"/>
      <c r="AL70" s="85"/>
    </row>
    <row r="71" spans="1:38">
      <c r="A71" s="74" t="s">
        <v>45</v>
      </c>
      <c r="B71" s="82">
        <f t="shared" si="55"/>
        <v>72983157</v>
      </c>
      <c r="C71" s="86"/>
      <c r="D71" s="82">
        <f>'SWM FGD'!$M88</f>
        <v>20133262</v>
      </c>
      <c r="E71" s="86"/>
      <c r="F71" s="82">
        <f>'MBG FGD'!$M88</f>
        <v>3840859</v>
      </c>
      <c r="G71" s="86"/>
      <c r="H71" s="82">
        <f>'HSH FGD'!$M88</f>
        <v>19439073</v>
      </c>
      <c r="I71" s="86"/>
      <c r="J71" s="82">
        <f>'HSSA FGD'!$M88</f>
        <v>9978440</v>
      </c>
      <c r="K71" s="86"/>
      <c r="L71" s="82">
        <f>'MDA FGD'!$M88</f>
        <v>11026183</v>
      </c>
      <c r="M71" s="86"/>
      <c r="N71" s="82">
        <f>'THC FGD'!$M88</f>
        <v>0</v>
      </c>
      <c r="O71" s="86"/>
      <c r="P71" s="82">
        <f>'TAMHSC FGD'!$M88</f>
        <v>2000</v>
      </c>
      <c r="Q71" s="86"/>
      <c r="R71" s="82">
        <f>'UNTHSC FGD'!$M88</f>
        <v>4000000</v>
      </c>
      <c r="S71" s="86"/>
      <c r="T71" s="82">
        <f>'TTUHSC FGD'!$M88</f>
        <v>1968342</v>
      </c>
      <c r="U71" s="86"/>
      <c r="V71" s="82">
        <f>'TTUHSCEP FGD'!$M88</f>
        <v>756</v>
      </c>
      <c r="W71" s="86"/>
      <c r="X71" s="82">
        <f>'AUSM FGD'!$M88</f>
        <v>2264242</v>
      </c>
      <c r="Y71" s="86"/>
      <c r="Z71" s="82">
        <f>'RGVM FGD'!$M88</f>
        <v>330000</v>
      </c>
      <c r="AA71" s="86"/>
      <c r="AB71" s="89"/>
      <c r="AC71" s="89"/>
      <c r="AD71" s="89"/>
      <c r="AE71" s="89"/>
      <c r="AF71" s="89"/>
      <c r="AG71" s="89"/>
      <c r="AH71" s="89"/>
      <c r="AI71" s="89"/>
      <c r="AJ71" s="89"/>
      <c r="AK71" s="89"/>
      <c r="AL71" s="89"/>
    </row>
    <row r="72" spans="1:38" s="92" customFormat="1">
      <c r="A72" s="87" t="s">
        <v>3</v>
      </c>
      <c r="B72" s="88">
        <f t="shared" ref="B72:D72" si="56">SUM(B70:B71)</f>
        <v>253996674</v>
      </c>
      <c r="C72" s="88"/>
      <c r="D72" s="88">
        <f t="shared" si="56"/>
        <v>60075532</v>
      </c>
      <c r="E72" s="88"/>
      <c r="F72" s="88">
        <f t="shared" ref="F72:T72" si="57">SUM(F70:F71)</f>
        <v>30609097</v>
      </c>
      <c r="G72" s="88"/>
      <c r="H72" s="88">
        <f t="shared" si="57"/>
        <v>30024504</v>
      </c>
      <c r="I72" s="88"/>
      <c r="J72" s="88">
        <f t="shared" si="57"/>
        <v>36074452</v>
      </c>
      <c r="K72" s="88"/>
      <c r="L72" s="88">
        <f t="shared" si="57"/>
        <v>75304495</v>
      </c>
      <c r="M72" s="88"/>
      <c r="N72" s="88">
        <f t="shared" si="57"/>
        <v>2382866</v>
      </c>
      <c r="O72" s="88"/>
      <c r="P72" s="88">
        <f t="shared" si="57"/>
        <v>4670422</v>
      </c>
      <c r="Q72" s="88"/>
      <c r="R72" s="88">
        <f t="shared" si="57"/>
        <v>4366464</v>
      </c>
      <c r="S72" s="88"/>
      <c r="T72" s="88">
        <f t="shared" si="57"/>
        <v>4976822</v>
      </c>
      <c r="U72" s="88"/>
      <c r="V72" s="88">
        <f t="shared" ref="V72" si="58">SUM(V70:V71)</f>
        <v>2196230</v>
      </c>
      <c r="W72" s="88"/>
      <c r="X72" s="88">
        <f t="shared" ref="X72" si="59">SUM(X70:X71)</f>
        <v>2970539</v>
      </c>
      <c r="Y72" s="88"/>
      <c r="Z72" s="88">
        <f t="shared" ref="Z72" si="60">SUM(Z70:Z71)</f>
        <v>345251</v>
      </c>
      <c r="AA72" s="88"/>
      <c r="AB72" s="90"/>
      <c r="AC72" s="90"/>
      <c r="AD72" s="90"/>
      <c r="AE72" s="90"/>
      <c r="AF72" s="90"/>
      <c r="AG72" s="90"/>
      <c r="AH72" s="90"/>
      <c r="AI72" s="90"/>
      <c r="AJ72" s="90"/>
      <c r="AK72" s="90"/>
      <c r="AL72" s="90"/>
    </row>
    <row r="73" spans="1:38">
      <c r="B73" s="91" t="str">
        <f>IF(B72&lt;&gt;'Smmy Sum'!B78,"Error","")</f>
        <v/>
      </c>
      <c r="C73" s="91"/>
      <c r="D73" s="91" t="str">
        <f>IF(D72&lt;&gt;'SWM FGD'!$M89,"Error","")</f>
        <v/>
      </c>
      <c r="E73" s="91"/>
      <c r="F73" s="91" t="str">
        <f>IF(F72&lt;&gt;'MBG FGD'!$M89,"Error","")</f>
        <v/>
      </c>
      <c r="G73" s="91"/>
      <c r="H73" s="91" t="str">
        <f>IF(H72&lt;&gt;'HSH FGD'!$M89,"Error","")</f>
        <v/>
      </c>
      <c r="I73" s="91"/>
      <c r="J73" s="91" t="str">
        <f>IF(J72&lt;&gt;'HSSA FGD'!$M89,"Error","")</f>
        <v/>
      </c>
      <c r="K73" s="91"/>
      <c r="L73" s="91" t="str">
        <f>IF(L72&lt;&gt;'MDA FGD'!$M89,"Error","")</f>
        <v/>
      </c>
      <c r="M73" s="91"/>
      <c r="N73" s="91" t="str">
        <f>IF(N72&lt;&gt;'THC FGD'!$M89,"Error","")</f>
        <v/>
      </c>
      <c r="O73" s="91"/>
      <c r="P73" s="91" t="str">
        <f>IF(P72&lt;&gt;'TAMHSC FGD'!$M89,"Error","")</f>
        <v/>
      </c>
      <c r="Q73" s="91"/>
      <c r="R73" s="91" t="str">
        <f>IF(R72&lt;&gt;'UNTHSC FGD'!$M89,"Error","")</f>
        <v/>
      </c>
      <c r="S73" s="91"/>
      <c r="T73" s="91" t="str">
        <f>IF(T72&lt;&gt;'TTUHSC FGD'!$M89,"Error","")</f>
        <v/>
      </c>
      <c r="U73" s="91"/>
      <c r="V73" s="91" t="str">
        <f>IF(V72&lt;&gt;'TTUHSCEP FGD'!$M89,"Error","")</f>
        <v/>
      </c>
      <c r="W73" s="91"/>
      <c r="X73" s="91" t="str">
        <f>IF(X72&lt;&gt;'AUSM FGD'!$M89,"Error","")</f>
        <v/>
      </c>
      <c r="Y73" s="91"/>
      <c r="Z73" s="91" t="str">
        <f>IF(Z72&lt;&gt;'RGVM FGD'!$M89,"Error","")</f>
        <v/>
      </c>
      <c r="AA73" s="91"/>
    </row>
    <row r="74" spans="1:38" ht="13.5" thickBot="1">
      <c r="A74" s="100" t="s">
        <v>621</v>
      </c>
      <c r="B74" s="49">
        <f t="shared" ref="B74:T74" si="61">B45-B60+B67+B72</f>
        <v>1184676448</v>
      </c>
      <c r="C74" s="49"/>
      <c r="D74" s="49">
        <f t="shared" si="61"/>
        <v>137445668</v>
      </c>
      <c r="E74" s="49"/>
      <c r="F74" s="49">
        <f t="shared" si="61"/>
        <v>35085891</v>
      </c>
      <c r="G74" s="49"/>
      <c r="H74" s="49">
        <f t="shared" si="61"/>
        <v>47761822</v>
      </c>
      <c r="I74" s="49"/>
      <c r="J74" s="49">
        <f t="shared" si="61"/>
        <v>24363013</v>
      </c>
      <c r="K74" s="49"/>
      <c r="L74" s="49">
        <f t="shared" si="61"/>
        <v>812346003</v>
      </c>
      <c r="M74" s="49"/>
      <c r="N74" s="49">
        <f t="shared" si="61"/>
        <v>-19770636</v>
      </c>
      <c r="O74" s="49"/>
      <c r="P74" s="49">
        <f>P45-P60+P67+P72</f>
        <v>36593181</v>
      </c>
      <c r="Q74" s="49"/>
      <c r="R74" s="49">
        <f t="shared" si="61"/>
        <v>118326555</v>
      </c>
      <c r="S74" s="49"/>
      <c r="T74" s="49">
        <f t="shared" si="61"/>
        <v>16193691</v>
      </c>
      <c r="U74" s="49"/>
      <c r="V74" s="49">
        <f t="shared" ref="V74" si="62">V45-V60+V67+V72</f>
        <v>27292721</v>
      </c>
      <c r="W74" s="49"/>
      <c r="X74" s="49">
        <f t="shared" ref="X74" si="63">X45-X60+X67+X72</f>
        <v>-73219401</v>
      </c>
      <c r="Y74" s="49"/>
      <c r="Z74" s="49">
        <f t="shared" ref="Z74" si="64">Z45-Z60+Z67+Z72</f>
        <v>22257940</v>
      </c>
      <c r="AA74" s="49"/>
    </row>
    <row r="75" spans="1:38" ht="13.5" thickTop="1">
      <c r="B75" s="91" t="str">
        <f>IF(B74&lt;&gt;'Smmy Sum'!B80,"Error","")</f>
        <v/>
      </c>
      <c r="C75" s="91"/>
      <c r="D75" s="91" t="str">
        <f>IF(D74&lt;&gt;'SWM FGD'!$M91,"Error","")</f>
        <v/>
      </c>
      <c r="E75" s="91"/>
      <c r="F75" s="91" t="str">
        <f>IF(F74&lt;&gt;'MBG FGD'!$M91,"Error","")</f>
        <v/>
      </c>
      <c r="G75" s="91"/>
      <c r="H75" s="91" t="str">
        <f>IF(H74&lt;&gt;'HSH FGD'!$M91,"Error","")</f>
        <v/>
      </c>
      <c r="I75" s="91"/>
      <c r="J75" s="91" t="str">
        <f>IF(J74&lt;&gt;'HSSA FGD'!$M91,"Error","")</f>
        <v/>
      </c>
      <c r="K75" s="91"/>
      <c r="L75" s="91" t="str">
        <f>IF(L74&lt;&gt;'MDA FGD'!$M91,"Error","")</f>
        <v/>
      </c>
      <c r="M75" s="91" t="str">
        <f>IF(M74&lt;&gt;'MDA Sum'!$C68,"Error","")</f>
        <v/>
      </c>
      <c r="N75" s="91" t="str">
        <f>IF(N74&lt;&gt;'THC FGD'!$M91,"Error","")</f>
        <v/>
      </c>
      <c r="O75" s="91" t="str">
        <f>IF(O74&lt;&gt;'THC Sum'!$C76,"Error","")</f>
        <v/>
      </c>
      <c r="P75" s="91" t="str">
        <f>IF(P74&lt;&gt;'TAMHSC FGD'!$M91,"Error","")</f>
        <v/>
      </c>
      <c r="Q75" s="91"/>
      <c r="R75" s="91" t="str">
        <f>IF(R74&lt;&gt;'UNTHSC FGD'!$M91,"Error","")</f>
        <v/>
      </c>
      <c r="S75" s="91"/>
      <c r="T75" s="91" t="str">
        <f>IF(T74&lt;&gt;'TTUHSC FGD'!$M91,"Error","")</f>
        <v/>
      </c>
      <c r="U75" s="91"/>
      <c r="V75" s="91" t="str">
        <f>IF(V74&lt;&gt;'TTUHSCEP FGD'!$M91,"Error","")</f>
        <v/>
      </c>
      <c r="W75" s="91"/>
      <c r="X75" s="91" t="str">
        <f>IF(X74&lt;&gt;'AUSM FGD'!$M91,"Error","")</f>
        <v/>
      </c>
      <c r="Y75" s="91"/>
      <c r="Z75" s="91" t="str">
        <f>IF(Z74&lt;&gt;'RGVM FGD'!$M91,"Error","")</f>
        <v/>
      </c>
      <c r="AA75" s="91"/>
    </row>
    <row r="76" spans="1:38">
      <c r="P76" s="86"/>
    </row>
    <row r="77" spans="1:38">
      <c r="B77" s="76" t="s">
        <v>173</v>
      </c>
      <c r="D77" s="76" t="s">
        <v>173</v>
      </c>
      <c r="F77" s="76" t="s">
        <v>173</v>
      </c>
      <c r="H77" s="76" t="s">
        <v>173</v>
      </c>
      <c r="J77" s="76" t="s">
        <v>173</v>
      </c>
      <c r="L77" s="76" t="s">
        <v>173</v>
      </c>
      <c r="N77" s="76" t="s">
        <v>173</v>
      </c>
      <c r="P77" s="76" t="s">
        <v>173</v>
      </c>
      <c r="R77" s="76" t="s">
        <v>173</v>
      </c>
      <c r="T77" s="76" t="s">
        <v>173</v>
      </c>
      <c r="V77" s="76" t="s">
        <v>173</v>
      </c>
      <c r="X77" s="76" t="s">
        <v>173</v>
      </c>
      <c r="Z77" s="76" t="s">
        <v>173</v>
      </c>
    </row>
    <row r="80" spans="1:38">
      <c r="A80" s="287"/>
    </row>
    <row r="81" spans="1:27">
      <c r="A81" s="51" t="s">
        <v>69</v>
      </c>
      <c r="B81" s="83">
        <f t="shared" ref="B81:B85" si="65">SUMIF(D$77:AA$77,$B$77,D81:AA81)</f>
        <v>-925407012</v>
      </c>
      <c r="D81" s="83">
        <f>'SWM FGD'!$M93</f>
        <v>-174313878</v>
      </c>
      <c r="F81" s="83">
        <f>'MBG FGD'!$M93</f>
        <v>-158831879</v>
      </c>
      <c r="H81" s="83">
        <f>'HSH FGD'!$M93</f>
        <v>-64775812</v>
      </c>
      <c r="J81" s="83">
        <f>'HSSA FGD'!$M93</f>
        <v>-55459098</v>
      </c>
      <c r="L81" s="83">
        <f>'MDA FGD'!$M93</f>
        <v>-365027967</v>
      </c>
      <c r="N81" s="83">
        <f>'THC FGD'!$M93</f>
        <v>-13966143</v>
      </c>
      <c r="P81" s="83">
        <f>'TAMHSC FGD'!$M93</f>
        <v>-18171446</v>
      </c>
      <c r="R81" s="83">
        <f>'UNTHSC FGD'!$M93</f>
        <v>-10707977</v>
      </c>
      <c r="T81" s="83">
        <f>'TTUHSC FGD'!$M93</f>
        <v>-20787805</v>
      </c>
      <c r="V81" s="83">
        <f>'TTUHSCEP FGD'!$M93</f>
        <v>-10723262</v>
      </c>
      <c r="X81" s="83">
        <f>'AUSM FGD'!$M93</f>
        <v>-24893078</v>
      </c>
      <c r="Z81" s="83">
        <f>'RGVM FGD'!$M93</f>
        <v>-7748667</v>
      </c>
    </row>
    <row r="82" spans="1:27">
      <c r="A82" s="51" t="s">
        <v>94</v>
      </c>
      <c r="B82" s="82">
        <f t="shared" si="65"/>
        <v>54784460</v>
      </c>
      <c r="D82" s="82">
        <f>'SWM FGD'!$M94</f>
        <v>0</v>
      </c>
      <c r="F82" s="82">
        <f>'MBG FGD'!$M94</f>
        <v>0</v>
      </c>
      <c r="H82" s="82">
        <f>'HSH FGD'!$M94</f>
        <v>0</v>
      </c>
      <c r="J82" s="82">
        <f>'HSSA FGD'!$M94</f>
        <v>0</v>
      </c>
      <c r="L82" s="82">
        <f>'MDA FGD'!$M94</f>
        <v>0</v>
      </c>
      <c r="N82" s="82">
        <f>'THC FGD'!$M94</f>
        <v>0</v>
      </c>
      <c r="P82" s="82">
        <f>'TAMHSC FGD'!$M94</f>
        <v>56155865</v>
      </c>
      <c r="R82" s="82">
        <f>'UNTHSC FGD'!$M94</f>
        <v>-759202</v>
      </c>
      <c r="T82" s="82">
        <f>'TTUHSC FGD'!$M94</f>
        <v>-573387</v>
      </c>
      <c r="V82" s="82">
        <f>'TTUHSCEP FGD'!$M94</f>
        <v>-38816</v>
      </c>
      <c r="X82" s="82">
        <f>'AUSM FGD'!$M94</f>
        <v>0</v>
      </c>
      <c r="Z82" s="82">
        <f>'RGVM FGD'!$M94</f>
        <v>0</v>
      </c>
    </row>
    <row r="83" spans="1:27" ht="12.75" customHeight="1">
      <c r="A83" s="51" t="s">
        <v>103</v>
      </c>
      <c r="B83" s="82">
        <f t="shared" si="65"/>
        <v>0</v>
      </c>
      <c r="D83" s="82">
        <f>'SWM FGD'!$M95</f>
        <v>0</v>
      </c>
      <c r="F83" s="82">
        <f>'MBG FGD'!$M95</f>
        <v>0</v>
      </c>
      <c r="H83" s="82">
        <f>'HSH FGD'!$M95</f>
        <v>0</v>
      </c>
      <c r="J83" s="82">
        <f>'HSSA FGD'!$M95</f>
        <v>0</v>
      </c>
      <c r="L83" s="82">
        <f>'MDA FGD'!$M95</f>
        <v>0</v>
      </c>
      <c r="N83" s="82">
        <f>'THC FGD'!$M95</f>
        <v>0</v>
      </c>
      <c r="P83" s="82">
        <f>'TAMHSC FGD'!$M95</f>
        <v>0</v>
      </c>
      <c r="R83" s="82">
        <f>'UNTHSC FGD'!$M95</f>
        <v>0</v>
      </c>
      <c r="T83" s="82">
        <f>'TTUHSC FGD'!$M95</f>
        <v>0</v>
      </c>
      <c r="V83" s="82">
        <f>'TTUHSCEP FGD'!$M95</f>
        <v>0</v>
      </c>
      <c r="X83" s="82">
        <f>'AUSM FGD'!$M95</f>
        <v>0</v>
      </c>
      <c r="Z83" s="82">
        <f>'RGVM FGD'!$M95</f>
        <v>0</v>
      </c>
    </row>
    <row r="84" spans="1:27" ht="12.75" customHeight="1">
      <c r="A84" s="51" t="s">
        <v>141</v>
      </c>
      <c r="B84" s="82">
        <f t="shared" si="65"/>
        <v>13083475</v>
      </c>
      <c r="D84" s="82">
        <f>'SWM FGD'!$M96</f>
        <v>28200</v>
      </c>
      <c r="F84" s="82">
        <f>'MBG FGD'!$M96</f>
        <v>0</v>
      </c>
      <c r="H84" s="82">
        <f>'HSH FGD'!$M96</f>
        <v>0</v>
      </c>
      <c r="J84" s="82">
        <f>'HSSA FGD'!$M96</f>
        <v>164518</v>
      </c>
      <c r="L84" s="82">
        <f>'MDA FGD'!$M96</f>
        <v>0</v>
      </c>
      <c r="N84" s="82">
        <f>'THC FGD'!$M96</f>
        <v>31</v>
      </c>
      <c r="P84" s="82">
        <f>'TAMHSC FGD'!$M96</f>
        <v>0</v>
      </c>
      <c r="R84" s="82">
        <f>'UNTHSC FGD'!$M96</f>
        <v>127567</v>
      </c>
      <c r="T84" s="82">
        <f>'TTUHSC FGD'!$M96</f>
        <v>12723771</v>
      </c>
      <c r="V84" s="82">
        <f>'TTUHSCEP FGD'!$M96</f>
        <v>39388</v>
      </c>
      <c r="X84" s="82">
        <f>'AUSM FGD'!$M96</f>
        <v>0</v>
      </c>
      <c r="Z84" s="82">
        <f>'RGVM FGD'!$M96</f>
        <v>0</v>
      </c>
    </row>
    <row r="85" spans="1:27" ht="12.75" customHeight="1">
      <c r="A85" s="51" t="s">
        <v>70</v>
      </c>
      <c r="B85" s="82">
        <f t="shared" si="65"/>
        <v>1367974133</v>
      </c>
      <c r="D85" s="82">
        <f>'SWM FGD'!$M97</f>
        <v>269690378</v>
      </c>
      <c r="F85" s="82">
        <f>'MBG FGD'!$M97</f>
        <v>307352833</v>
      </c>
      <c r="H85" s="82">
        <f>'HSH FGD'!$M97</f>
        <v>74887051</v>
      </c>
      <c r="J85" s="82">
        <f>'HSSA FGD'!$M97</f>
        <v>109330544</v>
      </c>
      <c r="L85" s="82">
        <f>'MDA FGD'!$M97</f>
        <v>372166197</v>
      </c>
      <c r="N85" s="82">
        <f>'THC FGD'!$M97</f>
        <v>32471815</v>
      </c>
      <c r="P85" s="82">
        <f>'TAMHSC FGD'!$M97</f>
        <v>4072827</v>
      </c>
      <c r="R85" s="82">
        <f>'UNTHSC FGD'!$M97</f>
        <v>75246042</v>
      </c>
      <c r="T85" s="82">
        <f>'TTUHSC FGD'!$M97</f>
        <v>60137053</v>
      </c>
      <c r="V85" s="82">
        <f>'TTUHSCEP FGD'!$M97</f>
        <v>29218798</v>
      </c>
      <c r="X85" s="82">
        <f>'AUSM FGD'!$M97</f>
        <v>33400595</v>
      </c>
      <c r="Z85" s="82">
        <f>'RGVM FGD'!$M97</f>
        <v>0</v>
      </c>
    </row>
    <row r="86" spans="1:27" s="290" customFormat="1" ht="12.75" customHeight="1" thickBot="1">
      <c r="A86" s="288" t="s">
        <v>64</v>
      </c>
      <c r="B86" s="289">
        <f>SUM(B81:B85)+B74</f>
        <v>1695111504</v>
      </c>
      <c r="D86" s="289">
        <f>SUM(D81:D85)+D74</f>
        <v>232850368</v>
      </c>
      <c r="F86" s="289">
        <f>SUM(F81:F85)+F74</f>
        <v>183606845</v>
      </c>
      <c r="H86" s="289">
        <f>SUM(H81:H85)+H74</f>
        <v>57873061</v>
      </c>
      <c r="J86" s="289">
        <f>SUM(J81:J85)+J74</f>
        <v>78398977</v>
      </c>
      <c r="L86" s="289">
        <f>SUM(L81:L85)+L74</f>
        <v>819484233</v>
      </c>
      <c r="N86" s="289">
        <f>SUM(N81:N85)+N74</f>
        <v>-1264933</v>
      </c>
      <c r="P86" s="289">
        <f>SUM(P81:P85)+P74</f>
        <v>78650427</v>
      </c>
      <c r="R86" s="289">
        <f>SUM(R81:R85)+R74</f>
        <v>182232985</v>
      </c>
      <c r="T86" s="289">
        <f>SUM(T81:T85)+T74</f>
        <v>67693323</v>
      </c>
      <c r="V86" s="289">
        <f>SUM(V81:V85)+V74</f>
        <v>45788829</v>
      </c>
      <c r="X86" s="289">
        <f>SUM(X81:X85)+X74</f>
        <v>-64711884</v>
      </c>
      <c r="Z86" s="289">
        <f>SUM(Z81:Z85)+Z74</f>
        <v>14509273</v>
      </c>
    </row>
    <row r="87" spans="1:27" ht="13.5" thickTop="1">
      <c r="B87" s="91" t="str">
        <f>IF(B86&lt;&gt;'Smmy FGD'!M938,"Error","")</f>
        <v/>
      </c>
      <c r="D87" s="91" t="str">
        <f>IF(D86&lt;&gt;'SWM FGD'!$M98,"Error","")</f>
        <v/>
      </c>
      <c r="F87" s="91" t="str">
        <f>IF(F86&lt;&gt;'MBG FGD'!$M98,"Error","")</f>
        <v/>
      </c>
      <c r="H87" s="91" t="str">
        <f>IF(H86&lt;&gt;'HSH FGD'!$M98,"Error","")</f>
        <v/>
      </c>
      <c r="J87" s="91" t="str">
        <f>IF(J86&lt;&gt;'HSSA FGD'!$M98,"Error","")</f>
        <v/>
      </c>
      <c r="L87" s="91" t="str">
        <f>IF(L86&lt;&gt;'MDA FGD'!$M98,"Error","")</f>
        <v/>
      </c>
      <c r="N87" s="91" t="str">
        <f>IF(N86&lt;&gt;'THC FGD'!$M98,"Error","")</f>
        <v/>
      </c>
      <c r="P87" s="91" t="str">
        <f>IF(P86&lt;&gt;'TAMHSC FGD'!$M98,"Error","")</f>
        <v/>
      </c>
      <c r="R87" s="91" t="str">
        <f>IF(R86&lt;&gt;'UNTHSC FGD'!$M98,"Error","")</f>
        <v/>
      </c>
      <c r="T87" s="91" t="str">
        <f>IF(T86&lt;&gt;'TTUHSC FGD'!$M98,"Error","")</f>
        <v/>
      </c>
      <c r="V87" s="91" t="str">
        <f>IF(V86&lt;&gt;'TTUHSCEP FGD'!$M98,"Error","")</f>
        <v/>
      </c>
      <c r="X87" s="91" t="str">
        <f>IF(X86&lt;&gt;'AUSM FGD'!$M98,"Error","")</f>
        <v/>
      </c>
      <c r="Z87" s="91" t="str">
        <f>IF(Z86&lt;&gt;'RGVM FGD'!$M98,"Error","")</f>
        <v/>
      </c>
    </row>
    <row r="88" spans="1:27" s="85" customFormat="1">
      <c r="B88" s="564" t="str">
        <f>IF(B86&lt;&gt;'Smmy FGD'!M938,"Error","")</f>
        <v/>
      </c>
      <c r="C88" s="74"/>
      <c r="E88" s="74"/>
      <c r="G88" s="74"/>
      <c r="I88" s="74"/>
      <c r="K88" s="74"/>
      <c r="M88" s="74"/>
      <c r="O88" s="74"/>
      <c r="Q88" s="74"/>
      <c r="S88" s="74"/>
      <c r="U88" s="74"/>
      <c r="W88" s="74"/>
      <c r="Y88" s="74"/>
      <c r="AA88" s="74"/>
    </row>
    <row r="89" spans="1:27" s="85" customFormat="1">
      <c r="A89" s="74" t="s">
        <v>1029</v>
      </c>
      <c r="B89" s="82"/>
    </row>
    <row r="90" spans="1:27">
      <c r="B90" s="609">
        <v>1695111504</v>
      </c>
      <c r="C90" s="85"/>
      <c r="E90" s="85"/>
      <c r="G90" s="85"/>
      <c r="I90" s="85"/>
      <c r="K90" s="85"/>
      <c r="M90" s="85"/>
      <c r="O90" s="85"/>
      <c r="Q90" s="85"/>
      <c r="S90" s="85"/>
      <c r="U90" s="85"/>
      <c r="W90" s="85"/>
      <c r="Y90" s="85"/>
      <c r="AA90" s="85"/>
    </row>
    <row r="91" spans="1:27" s="85" customFormat="1">
      <c r="A91" s="51"/>
      <c r="B91" s="865">
        <f>B90-B86</f>
        <v>0</v>
      </c>
      <c r="C91" s="74"/>
      <c r="E91" s="74"/>
      <c r="G91" s="74"/>
      <c r="I91" s="74"/>
      <c r="K91" s="74"/>
      <c r="M91" s="74"/>
      <c r="O91" s="74"/>
      <c r="Q91" s="74"/>
      <c r="S91" s="74"/>
      <c r="U91" s="74"/>
      <c r="W91" s="74"/>
      <c r="Y91" s="74"/>
      <c r="AA91" s="74"/>
    </row>
    <row r="92" spans="1:27">
      <c r="A92" s="51"/>
      <c r="C92" s="85"/>
      <c r="E92" s="85"/>
      <c r="G92" s="85"/>
      <c r="I92" s="85"/>
      <c r="K92" s="85"/>
      <c r="M92" s="85"/>
      <c r="O92" s="85"/>
      <c r="Q92" s="85"/>
      <c r="S92" s="85"/>
      <c r="U92" s="85"/>
      <c r="W92" s="85"/>
      <c r="Y92" s="85"/>
      <c r="AA92" s="85"/>
    </row>
    <row r="93" spans="1:27">
      <c r="A93" s="51" t="s">
        <v>1326</v>
      </c>
      <c r="B93" s="610">
        <f>COUNTIF(D$77:BY$77,$B$77)</f>
        <v>12</v>
      </c>
    </row>
    <row r="94" spans="1:27">
      <c r="A94" s="51"/>
      <c r="B94" s="82"/>
    </row>
    <row r="95" spans="1:27">
      <c r="A95" s="51"/>
      <c r="B95" s="82"/>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3">
    <mergeCell ref="V4:W4"/>
    <mergeCell ref="X4:Y4"/>
    <mergeCell ref="Z4:AA4"/>
    <mergeCell ref="N4:O4"/>
    <mergeCell ref="P4:Q4"/>
    <mergeCell ref="R4:S4"/>
    <mergeCell ref="T4:U4"/>
    <mergeCell ref="L4:M4"/>
    <mergeCell ref="B4:C4"/>
    <mergeCell ref="D4:E4"/>
    <mergeCell ref="F4:G4"/>
    <mergeCell ref="H4:I4"/>
    <mergeCell ref="J4:K4"/>
  </mergeCells>
  <hyperlinks>
    <hyperlink ref="E1" location="Index!A1" display="Return to Index"/>
  </hyperlinks>
  <printOptions horizontalCentered="1"/>
  <pageMargins left="0.25" right="0.25" top="0.3" bottom="0.25" header="0.3" footer="0.25"/>
  <pageSetup scale="92" orientation="landscape" r:id="rId35"/>
  <headerFooter alignWithMargins="0"/>
  <rowBreaks count="1" manualBreakCount="1">
    <brk id="75" max="1" man="1"/>
  </rowBreaks>
  <ignoredErrors>
    <ignoredError sqref="D72:D74 D28:U28 D37:U37 D29:D36 F29:F36 H29:H36 J36:P36 J29:J35 L29:P35 R29:R36 T29:T36 D47:U49 D38:D44 F38:F44 H38:H44 J38:J44 L38:P43 L44 N44 P44 R38:R44 T38:T44 F72:F74 D63 F63 H72:H74 H63 J72:J74 J63 L63 L72:L74 N63:P63 N72:N74 P72:P73 R63 R72:R74 T63 T72:T74 D52:U54 D50:D51 D56:U56 D55 F55 D58:U58 D57 F57 D62:U62 D59:D61 F59:F61 H59:H61 H57 H55 F50:F51 H50:H51 J50:J51 J55 J57 J59:J61 L50:P51 L55:P55 L57:P57 L59:P59 L61:P61 L60 N60:P60 R59:R61 R50:R51 R55 R57 T50:T51 T55 T57 T59:T61 D10:U11 D46 F46 H46 J46 L46 N46 P46 R46 T46 D13:U16" formula="1"/>
    <ignoredError sqref="D64:D71 F64:F71 H64:H71 J64:J71 L64:L71 N64:P66 N67:N71 P67:P71 R64:R66 R67:R71 T64:T66 T67:T71" formula="1" unlockedFormula="1"/>
    <ignoredError sqref="B67:B69 C82:C85 D82"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9.140625" style="53"/>
    <col min="3" max="3" width="47.140625" style="53" customWidth="1"/>
    <col min="4" max="4" width="22.28515625" style="53" customWidth="1"/>
    <col min="5" max="16384" width="9.140625" style="53"/>
  </cols>
  <sheetData>
    <row r="1" spans="1:5" ht="27.75" customHeight="1" thickBot="1">
      <c r="A1" s="52" t="s">
        <v>134</v>
      </c>
      <c r="C1" s="703" t="s">
        <v>1123</v>
      </c>
    </row>
    <row r="2" spans="1:5" ht="27.75" customHeight="1">
      <c r="A2" s="52" t="s">
        <v>1511</v>
      </c>
      <c r="C2" s="53" t="s">
        <v>205</v>
      </c>
    </row>
    <row r="3" spans="1:5" ht="27" customHeight="1">
      <c r="A3" s="52" t="s">
        <v>1512</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'Smmy Sum'!A21</f>
        <v>State of Texas</v>
      </c>
      <c r="D11" s="61">
        <f>'Smmy Sum'!B27</f>
        <v>2016043236</v>
      </c>
      <c r="E11" s="673">
        <f>ROUND(D11/$D$17,3)</f>
        <v>0.13400000000000001</v>
      </c>
    </row>
    <row r="12" spans="1:5" ht="12.95" customHeight="1">
      <c r="B12" s="56"/>
      <c r="C12" s="60" t="str">
        <f>'Smmy Sum'!A29</f>
        <v>Student &amp; Parent</v>
      </c>
      <c r="D12" s="61">
        <f>'Smmy Sum'!B32</f>
        <v>306005779</v>
      </c>
      <c r="E12" s="673">
        <f t="shared" ref="E12:E15" si="0">ROUND(D12/$D$17,3)</f>
        <v>0.02</v>
      </c>
    </row>
    <row r="13" spans="1:5" ht="12.95" customHeight="1">
      <c r="B13" s="56"/>
      <c r="C13" s="60" t="str">
        <f>'Smmy Sum'!A34</f>
        <v>Federal Government</v>
      </c>
      <c r="D13" s="61">
        <f>'Smmy Sum'!B35</f>
        <v>892704561</v>
      </c>
      <c r="E13" s="673">
        <f t="shared" si="0"/>
        <v>5.8999999999999997E-2</v>
      </c>
    </row>
    <row r="14" spans="1:5" ht="12.95" customHeight="1">
      <c r="B14" s="56"/>
      <c r="C14" s="60" t="str">
        <f>'Smmy Sum'!A43</f>
        <v>Institutional Resources</v>
      </c>
      <c r="D14" s="61">
        <f>'Smmy Sum'!B50</f>
        <v>3349315236</v>
      </c>
      <c r="E14" s="673">
        <f t="shared" si="0"/>
        <v>0.223</v>
      </c>
    </row>
    <row r="15" spans="1:5" ht="12.95" customHeight="1">
      <c r="B15" s="56"/>
      <c r="C15" s="62" t="s">
        <v>58</v>
      </c>
      <c r="D15" s="61">
        <f>'Smmy Sum'!B41+'Smmy Sum'!B38</f>
        <v>8484715166</v>
      </c>
      <c r="E15" s="673">
        <f t="shared" si="0"/>
        <v>0.56399999999999995</v>
      </c>
    </row>
    <row r="16" spans="1:5" ht="12.95" customHeight="1">
      <c r="B16" s="56"/>
      <c r="C16" s="58"/>
      <c r="D16" s="59"/>
    </row>
    <row r="17" spans="1:5" ht="12.95" customHeight="1">
      <c r="B17" s="56"/>
      <c r="C17" s="63" t="s">
        <v>71</v>
      </c>
      <c r="D17" s="64">
        <f>SUM(D11:D16)</f>
        <v>15048783978</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c r="C26" s="53" t="s">
        <v>135</v>
      </c>
    </row>
    <row r="27" spans="1:5" ht="12.95" customHeight="1">
      <c r="A27" s="57"/>
    </row>
    <row r="28" spans="1:5" ht="12.95" customHeight="1">
      <c r="A28" s="57"/>
      <c r="C28" s="53" t="s">
        <v>204</v>
      </c>
    </row>
    <row r="29" spans="1:5" ht="12.95" customHeight="1">
      <c r="A29" s="57"/>
    </row>
    <row r="30" spans="1:5" ht="12.95" customHeight="1">
      <c r="A30" s="57"/>
      <c r="C30" s="378" t="s">
        <v>206</v>
      </c>
      <c r="D30" s="379"/>
      <c r="E30" s="380"/>
    </row>
    <row r="31" spans="1:5" ht="12.95" customHeight="1">
      <c r="A31" s="57"/>
      <c r="C31" s="381"/>
      <c r="D31" s="57"/>
      <c r="E31" s="382"/>
    </row>
    <row r="32" spans="1:5" ht="12.95" customHeight="1">
      <c r="A32" s="57"/>
      <c r="C32" s="381" t="s">
        <v>1509</v>
      </c>
      <c r="D32" s="57" t="s">
        <v>207</v>
      </c>
      <c r="E32" s="382"/>
    </row>
    <row r="33" spans="1:5" ht="12.95" customHeight="1">
      <c r="A33" s="57"/>
      <c r="C33" s="381" t="s">
        <v>1499</v>
      </c>
      <c r="D33" s="57" t="s">
        <v>208</v>
      </c>
      <c r="E33" s="382"/>
    </row>
    <row r="34" spans="1:5" ht="12.95" customHeight="1">
      <c r="A34" s="57"/>
      <c r="C34" s="381"/>
      <c r="D34" s="57"/>
      <c r="E34" s="382"/>
    </row>
    <row r="35" spans="1:5" ht="12.95" customHeight="1">
      <c r="A35" s="57"/>
      <c r="C35" s="381" t="s">
        <v>1510</v>
      </c>
      <c r="D35" s="57" t="s">
        <v>209</v>
      </c>
      <c r="E35" s="382"/>
    </row>
    <row r="36" spans="1:5" ht="12.95" customHeight="1">
      <c r="A36" s="57"/>
      <c r="C36" s="383"/>
      <c r="D36" s="384"/>
      <c r="E36" s="385"/>
    </row>
    <row r="37" spans="1:5" ht="12.95" customHeight="1">
      <c r="A37" s="57"/>
    </row>
    <row r="38" spans="1:5" ht="12.95" customHeight="1">
      <c r="A38" s="57"/>
    </row>
    <row r="39" spans="1:5" ht="12.95" customHeight="1">
      <c r="A39" s="57"/>
    </row>
    <row r="40" spans="1:5" ht="12.95" customHeight="1">
      <c r="A40" s="57"/>
    </row>
    <row r="41" spans="1:5" ht="12.95" customHeight="1">
      <c r="A41" s="57"/>
    </row>
    <row r="42" spans="1:5" ht="12.95" customHeight="1">
      <c r="A42" s="57"/>
    </row>
    <row r="43" spans="1:5" ht="12.95" customHeight="1">
      <c r="A43" s="57"/>
    </row>
    <row r="44" spans="1:5" ht="12.95" customHeight="1">
      <c r="A44" s="57"/>
    </row>
    <row r="45" spans="1:5" ht="12.95" customHeight="1">
      <c r="A45" s="57"/>
    </row>
    <row r="46" spans="1:5" ht="12.95" customHeight="1">
      <c r="A46" s="57"/>
    </row>
    <row r="47" spans="1:5" ht="12.95" customHeight="1">
      <c r="A47" s="1241" t="str">
        <f>C17&amp;" "&amp;TEXT(D17,"$#,###")</f>
        <v>Total Operating Sources $15,048,783,978</v>
      </c>
    </row>
    <row r="48" spans="1:5"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'Smmy Sum'!B22</f>
        <v>1745264029</v>
      </c>
      <c r="E53" s="673">
        <f>ROUND(D53/$D$68,3)</f>
        <v>0.11600000000000001</v>
      </c>
    </row>
    <row r="54" spans="1:5" ht="12.95" customHeight="1">
      <c r="C54" s="60" t="s">
        <v>76</v>
      </c>
      <c r="D54" s="61">
        <f>'Smmy Sum'!B23</f>
        <v>180504283</v>
      </c>
      <c r="E54" s="673">
        <f t="shared" ref="E54:E67" si="1">ROUND(D54/$D$68,3)</f>
        <v>1.2E-2</v>
      </c>
    </row>
    <row r="55" spans="1:5" ht="12.95" customHeight="1">
      <c r="C55" s="907"/>
      <c r="D55" s="61"/>
      <c r="E55" s="673"/>
    </row>
    <row r="56" spans="1:5" ht="12.95" customHeight="1">
      <c r="C56" s="60" t="str">
        <f>'Smmy Sum'!A25</f>
        <v>Higher Education Fund</v>
      </c>
      <c r="D56" s="61">
        <f>'Smmy Sum'!B25</f>
        <v>46698327</v>
      </c>
      <c r="E56" s="673">
        <f t="shared" si="1"/>
        <v>3.0000000000000001E-3</v>
      </c>
    </row>
    <row r="57" spans="1:5" ht="12.95" customHeight="1">
      <c r="C57" s="907" t="s">
        <v>39</v>
      </c>
      <c r="D57" s="61">
        <f>'Smmy Sum'!B26</f>
        <v>43576597</v>
      </c>
      <c r="E57" s="673">
        <f t="shared" si="1"/>
        <v>3.0000000000000001E-3</v>
      </c>
    </row>
    <row r="58" spans="1:5" ht="12.95" customHeight="1">
      <c r="C58" s="60" t="s">
        <v>77</v>
      </c>
      <c r="D58" s="61">
        <f>'Smmy Sum'!B32</f>
        <v>306005779</v>
      </c>
      <c r="E58" s="673">
        <f t="shared" si="1"/>
        <v>0.02</v>
      </c>
    </row>
    <row r="59" spans="1:5" ht="12.95" customHeight="1">
      <c r="C59" s="66" t="s">
        <v>78</v>
      </c>
      <c r="D59" s="61">
        <f>'Smmy Sum'!B35</f>
        <v>892704561</v>
      </c>
      <c r="E59" s="673">
        <f t="shared" si="1"/>
        <v>5.8999999999999997E-2</v>
      </c>
    </row>
    <row r="60" spans="1:5" ht="12.95" customHeight="1">
      <c r="C60" s="60" t="s">
        <v>79</v>
      </c>
      <c r="D60" s="61">
        <f>'Smmy Sum'!B44</f>
        <v>544285096</v>
      </c>
      <c r="E60" s="673">
        <f t="shared" si="1"/>
        <v>3.5999999999999997E-2</v>
      </c>
    </row>
    <row r="61" spans="1:5" ht="12.95" customHeight="1">
      <c r="C61" s="60" t="s">
        <v>198</v>
      </c>
      <c r="D61" s="61">
        <f>'Smmy Sum'!B45</f>
        <v>940655596</v>
      </c>
      <c r="E61" s="673">
        <f t="shared" si="1"/>
        <v>6.3E-2</v>
      </c>
    </row>
    <row r="62" spans="1:5" ht="12.95" customHeight="1">
      <c r="C62" s="60" t="s">
        <v>80</v>
      </c>
      <c r="D62" s="61">
        <f>'Smmy Sum'!B46</f>
        <v>1017149586</v>
      </c>
      <c r="E62" s="673">
        <f t="shared" si="1"/>
        <v>6.8000000000000005E-2</v>
      </c>
    </row>
    <row r="63" spans="1:5" ht="12.95" customHeight="1">
      <c r="C63" s="60" t="s">
        <v>81</v>
      </c>
      <c r="D63" s="61">
        <f>'Smmy Sum'!B47</f>
        <v>209052351</v>
      </c>
      <c r="E63" s="673">
        <f t="shared" si="1"/>
        <v>1.4E-2</v>
      </c>
    </row>
    <row r="64" spans="1:5" ht="12.95" customHeight="1">
      <c r="C64" s="60" t="s">
        <v>12</v>
      </c>
      <c r="D64" s="61">
        <f>'Smmy Sum'!B48</f>
        <v>123232260</v>
      </c>
      <c r="E64" s="673">
        <f t="shared" si="1"/>
        <v>8.0000000000000002E-3</v>
      </c>
    </row>
    <row r="65" spans="1:5" ht="12.95" customHeight="1">
      <c r="C65" s="66" t="s">
        <v>48</v>
      </c>
      <c r="D65" s="61">
        <f>'Smmy Sum'!B49</f>
        <v>514940347</v>
      </c>
      <c r="E65" s="673">
        <f t="shared" si="1"/>
        <v>3.4000000000000002E-2</v>
      </c>
    </row>
    <row r="66" spans="1:5" ht="12.95" customHeight="1">
      <c r="C66" s="66" t="s">
        <v>57</v>
      </c>
      <c r="D66" s="61">
        <f>'Smmy Sum'!B38</f>
        <v>2167265544</v>
      </c>
      <c r="E66" s="673">
        <f t="shared" si="1"/>
        <v>0.14399999999999999</v>
      </c>
    </row>
    <row r="67" spans="1:5" ht="12.95" customHeight="1">
      <c r="C67" s="62" t="s">
        <v>58</v>
      </c>
      <c r="D67" s="61">
        <f>'Smmy Sum'!B41</f>
        <v>6317449622</v>
      </c>
      <c r="E67" s="673">
        <f t="shared" si="1"/>
        <v>0.42</v>
      </c>
    </row>
    <row r="68" spans="1:5" ht="12.95" customHeight="1">
      <c r="C68" s="63" t="s">
        <v>71</v>
      </c>
      <c r="D68" s="64">
        <f>SUM(D53:D67)</f>
        <v>15048783978</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$15,048,783,978</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'Smmy Sum'!B54</f>
        <v>2999569033</v>
      </c>
      <c r="E102" s="673">
        <f>ROUND(D102/$D$115,3)</f>
        <v>0.22800000000000001</v>
      </c>
    </row>
    <row r="103" spans="1:5" ht="12.95" customHeight="1">
      <c r="C103" s="68" t="s">
        <v>15</v>
      </c>
      <c r="D103" s="61">
        <f>'Smmy Sum'!B55</f>
        <v>1751366403</v>
      </c>
      <c r="E103" s="673">
        <f t="shared" ref="E103:E113" si="2">ROUND(D103/$D$115,3)</f>
        <v>0.13300000000000001</v>
      </c>
    </row>
    <row r="104" spans="1:5" ht="12.95" customHeight="1">
      <c r="C104" s="68" t="s">
        <v>16</v>
      </c>
      <c r="D104" s="61">
        <f>'Smmy Sum'!B56</f>
        <v>323289387</v>
      </c>
      <c r="E104" s="673">
        <f t="shared" si="2"/>
        <v>2.5000000000000001E-2</v>
      </c>
    </row>
    <row r="105" spans="1:5" ht="12.95" customHeight="1">
      <c r="C105" s="68" t="s">
        <v>17</v>
      </c>
      <c r="D105" s="61">
        <f>'Smmy Sum'!B58</f>
        <v>567907925</v>
      </c>
      <c r="E105" s="673">
        <f t="shared" si="2"/>
        <v>4.2999999999999997E-2</v>
      </c>
    </row>
    <row r="106" spans="1:5" ht="12.95" customHeight="1">
      <c r="C106" s="68" t="s">
        <v>18</v>
      </c>
      <c r="D106" s="61">
        <f>'Smmy Sum'!B59</f>
        <v>53599888</v>
      </c>
      <c r="E106" s="673">
        <f t="shared" si="2"/>
        <v>4.0000000000000001E-3</v>
      </c>
    </row>
    <row r="107" spans="1:5" ht="12.95" customHeight="1">
      <c r="C107" s="68" t="s">
        <v>19</v>
      </c>
      <c r="D107" s="61">
        <f>'Smmy Sum'!B60</f>
        <v>532579502</v>
      </c>
      <c r="E107" s="673">
        <f t="shared" si="2"/>
        <v>0.04</v>
      </c>
    </row>
    <row r="108" spans="1:5" ht="12.95" customHeight="1">
      <c r="C108" s="68" t="s">
        <v>82</v>
      </c>
      <c r="D108" s="61">
        <f>'Smmy Sum'!B61</f>
        <v>533150845</v>
      </c>
      <c r="E108" s="673">
        <f t="shared" si="2"/>
        <v>0.04</v>
      </c>
    </row>
    <row r="109" spans="1:5" ht="12.95" customHeight="1">
      <c r="C109" s="68" t="s">
        <v>83</v>
      </c>
      <c r="D109" s="61">
        <f>'Smmy Sum'!B62</f>
        <v>38750602</v>
      </c>
      <c r="E109" s="673">
        <f t="shared" si="2"/>
        <v>3.0000000000000001E-3</v>
      </c>
    </row>
    <row r="110" spans="1:5" ht="12.95" customHeight="1">
      <c r="C110" s="68" t="s">
        <v>22</v>
      </c>
      <c r="D110" s="61">
        <f>'Smmy Sum'!B63</f>
        <v>88055035</v>
      </c>
      <c r="E110" s="673">
        <f t="shared" si="2"/>
        <v>7.0000000000000001E-3</v>
      </c>
    </row>
    <row r="111" spans="1:5" ht="12.95" customHeight="1">
      <c r="C111" s="69" t="s">
        <v>27</v>
      </c>
      <c r="D111" s="61">
        <f>'Smmy Sum'!B64</f>
        <v>175715057</v>
      </c>
      <c r="E111" s="673">
        <f t="shared" si="2"/>
        <v>1.2999999999999999E-2</v>
      </c>
    </row>
    <row r="112" spans="1:5" ht="12.95" customHeight="1">
      <c r="C112" s="66" t="s">
        <v>49</v>
      </c>
      <c r="D112" s="61">
        <f>'Smmy Sum'!B65</f>
        <v>26049887</v>
      </c>
      <c r="E112" s="673">
        <f t="shared" si="2"/>
        <v>2E-3</v>
      </c>
    </row>
    <row r="113" spans="3:5" ht="12.95" customHeight="1">
      <c r="C113" s="62" t="s">
        <v>84</v>
      </c>
      <c r="D113" s="61">
        <f>'Smmy Sum'!B57</f>
        <v>6076121613</v>
      </c>
      <c r="E113" s="673">
        <f t="shared" si="2"/>
        <v>0.46100000000000002</v>
      </c>
    </row>
    <row r="114" spans="3:5" ht="12.95" customHeight="1">
      <c r="C114" s="58"/>
      <c r="D114" s="58"/>
      <c r="E114" s="674"/>
    </row>
    <row r="115" spans="3:5" ht="12.95" customHeight="1">
      <c r="C115" s="70" t="s">
        <v>72</v>
      </c>
      <c r="D115" s="64">
        <f>SUM(D102:D114)</f>
        <v>13166155177</v>
      </c>
      <c r="E115" s="674">
        <f>SUM(E102:E113)</f>
        <v>0.99900000000000011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$13,166,155,177</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2.95" customHeight="1">
      <c r="A154" s="72"/>
    </row>
    <row r="155" spans="1:1" ht="12.95" customHeight="1">
      <c r="A155" s="72"/>
    </row>
    <row r="156" spans="1:1" ht="17.100000000000001"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47:A48"/>
    <mergeCell ref="C101:D101"/>
    <mergeCell ref="A136:A137"/>
    <mergeCell ref="C9:D9"/>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B222"/>
  <sheetViews>
    <sheetView showGridLines="0" zoomScale="85" zoomScaleNormal="85" workbookViewId="0">
      <pane xSplit="2" ySplit="18" topLeftCell="C45" activePane="bottomRight" state="frozen"/>
      <selection activeCell="C36" sqref="C36"/>
      <selection pane="topRight" activeCell="C36" sqref="C36"/>
      <selection pane="bottomLeft" activeCell="C36" sqref="C36"/>
      <selection pane="bottomRight" activeCell="E1" sqref="E1"/>
    </sheetView>
  </sheetViews>
  <sheetFormatPr defaultRowHeight="12.75" outlineLevelRow="1"/>
  <cols>
    <col min="1" max="1" width="68.7109375" style="74" customWidth="1"/>
    <col min="2" max="2" width="17.85546875" style="74" customWidth="1"/>
    <col min="3" max="3" width="14.7109375" style="74" customWidth="1"/>
    <col min="4" max="4" width="19.85546875" style="74" bestFit="1" customWidth="1"/>
    <col min="5" max="6" width="17.5703125" style="92" customWidth="1"/>
    <col min="7" max="7" width="18.85546875" style="92" customWidth="1"/>
    <col min="8" max="8" width="23.5703125" style="92" customWidth="1"/>
    <col min="9" max="9" width="15.7109375" style="92" customWidth="1"/>
    <col min="10" max="10" width="13.42578125" style="92" customWidth="1"/>
    <col min="11" max="11" width="15.5703125" style="74" customWidth="1"/>
    <col min="12" max="12" width="15.28515625" style="74" customWidth="1"/>
    <col min="13" max="13" width="14.5703125" style="74" customWidth="1"/>
    <col min="14" max="14" width="14.7109375" style="74" customWidth="1"/>
    <col min="15" max="15" width="13" style="74" customWidth="1"/>
    <col min="16" max="16384" width="9.140625" style="74"/>
  </cols>
  <sheetData>
    <row r="1" spans="1:15" ht="17.25" thickTop="1" thickBot="1">
      <c r="A1" s="75" t="str">
        <f>'Smmy Chts'!$A$1</f>
        <v>Summary of All Health-Related Institutions</v>
      </c>
      <c r="B1" s="73"/>
      <c r="C1" s="73"/>
      <c r="E1" s="703" t="s">
        <v>1123</v>
      </c>
      <c r="F1" s="1249" t="s">
        <v>1158</v>
      </c>
      <c r="G1" s="1250"/>
      <c r="H1" s="1250"/>
      <c r="I1" s="1251"/>
      <c r="J1" s="1244" t="s">
        <v>1111</v>
      </c>
      <c r="K1" s="1245"/>
      <c r="L1" s="1245"/>
      <c r="M1" s="1245"/>
      <c r="N1" s="1245"/>
      <c r="O1" s="1246"/>
    </row>
    <row r="2" spans="1:15" ht="15.75">
      <c r="A2" s="23" t="str">
        <f>'Smmy Chts'!$A$2</f>
        <v>For the Year Ended August 31, 2018</v>
      </c>
      <c r="B2" s="73"/>
      <c r="C2" s="73"/>
      <c r="E2" s="565"/>
      <c r="F2" s="565"/>
      <c r="G2" s="51"/>
      <c r="H2" s="51"/>
      <c r="I2" s="51"/>
      <c r="J2" s="565"/>
      <c r="K2" s="565"/>
      <c r="L2" s="565"/>
      <c r="M2" s="565"/>
      <c r="N2" s="51"/>
      <c r="O2" s="51"/>
    </row>
    <row r="3" spans="1:15" ht="15.75" customHeight="1">
      <c r="A3" s="23" t="str">
        <f>'Smmy Chts'!$A$3</f>
        <v>Source: FY 2018 Annual Financial Report</v>
      </c>
      <c r="B3" s="73"/>
      <c r="C3" s="73"/>
      <c r="D3" s="51"/>
      <c r="E3" s="51"/>
      <c r="F3" s="51"/>
      <c r="G3" s="51"/>
      <c r="H3" s="51"/>
      <c r="I3" s="51"/>
      <c r="J3" s="51"/>
      <c r="K3" s="51"/>
      <c r="L3" s="51"/>
      <c r="M3" s="51"/>
      <c r="N3" s="51"/>
      <c r="O3" s="51"/>
    </row>
    <row r="4" spans="1:15" ht="13.5" customHeight="1">
      <c r="A4" s="2"/>
      <c r="B4" s="76"/>
      <c r="C4" s="76"/>
      <c r="D4" s="1270" t="s">
        <v>1081</v>
      </c>
      <c r="E4" s="1247" t="s">
        <v>1279</v>
      </c>
      <c r="F4" s="296"/>
      <c r="G4" s="51"/>
      <c r="H4" s="51"/>
      <c r="I4" s="51"/>
      <c r="J4" s="51"/>
      <c r="K4" s="51"/>
      <c r="L4" s="51"/>
      <c r="M4" s="51"/>
      <c r="N4" s="51"/>
      <c r="O4" s="51"/>
    </row>
    <row r="5" spans="1:15" ht="18">
      <c r="A5" s="41" t="str">
        <f>'Smmy Chts'!$C$35</f>
        <v>Summary Worksheet FY 2018</v>
      </c>
      <c r="B5" s="77" t="s">
        <v>90</v>
      </c>
      <c r="C5" s="77" t="s">
        <v>136</v>
      </c>
      <c r="D5" s="1271"/>
      <c r="E5" s="1248"/>
      <c r="F5" s="296"/>
      <c r="G5" s="680" t="s">
        <v>1112</v>
      </c>
      <c r="H5" s="51"/>
      <c r="I5" s="681" t="s">
        <v>1113</v>
      </c>
      <c r="J5" s="682" t="s">
        <v>1082</v>
      </c>
      <c r="K5" s="51"/>
      <c r="L5" s="51"/>
      <c r="M5" s="51"/>
      <c r="N5" s="51"/>
      <c r="O5" s="51"/>
    </row>
    <row r="6" spans="1:15" ht="20.25" hidden="1" customHeight="1" outlineLevel="1">
      <c r="A6" s="392" t="str">
        <f>'AUSM FGD'!$B$2</f>
        <v>The University of Texas at Austin Medical School (M)</v>
      </c>
      <c r="B6" s="137"/>
      <c r="C6" s="1102">
        <f>'AUSM Sum'!$C$6</f>
        <v>100</v>
      </c>
      <c r="D6" s="40"/>
      <c r="E6" s="138"/>
      <c r="K6" s="51"/>
      <c r="L6" s="51"/>
    </row>
    <row r="7" spans="1:15" ht="19.5" hidden="1" customHeight="1" outlineLevel="1">
      <c r="A7" s="392" t="str">
        <f>'HSH FGD'!$B$2</f>
        <v>The University of Texas Health Science Center at Houston</v>
      </c>
      <c r="B7" s="137"/>
      <c r="C7" s="1102">
        <f>'HSH Sum'!$C$6</f>
        <v>4887.8900000000003</v>
      </c>
      <c r="D7" s="40"/>
      <c r="E7" s="138"/>
      <c r="K7" s="51"/>
      <c r="L7" s="51"/>
    </row>
    <row r="8" spans="1:15" ht="19.5" hidden="1" customHeight="1" outlineLevel="1">
      <c r="A8" s="392" t="str">
        <f>'HSSA FGD'!$B$2</f>
        <v>The University of Texas Health Science Center at San Antonio</v>
      </c>
      <c r="B8" s="137"/>
      <c r="C8" s="1102">
        <f>'HSSA Sum'!$C$6</f>
        <v>3827.8999999999996</v>
      </c>
      <c r="D8" s="40"/>
      <c r="E8" s="138"/>
      <c r="K8" s="51"/>
      <c r="L8" s="51"/>
    </row>
    <row r="9" spans="1:15" ht="19.5" hidden="1" customHeight="1" outlineLevel="1">
      <c r="A9" s="392" t="str">
        <f>'MBG FGD'!$B$2</f>
        <v>The University of Texas Medical Branch at Galveston</v>
      </c>
      <c r="B9" s="137"/>
      <c r="C9" s="1102">
        <f>'MBG Sum'!$C$6</f>
        <v>3693.9200000000005</v>
      </c>
      <c r="D9" s="40"/>
      <c r="E9" s="138"/>
      <c r="K9" s="51"/>
      <c r="L9" s="51"/>
    </row>
    <row r="10" spans="1:15" ht="19.5" hidden="1" customHeight="1" outlineLevel="1">
      <c r="A10" s="392" t="str">
        <f>'MDA FGD'!$B$2</f>
        <v>The University of Texas M.D. Anderson Cancer Center</v>
      </c>
      <c r="B10" s="137"/>
      <c r="C10" s="1102">
        <f>'MDA Sum'!$C$6</f>
        <v>378.18</v>
      </c>
      <c r="D10" s="40"/>
      <c r="E10" s="138"/>
      <c r="K10" s="51"/>
      <c r="L10" s="51"/>
    </row>
    <row r="11" spans="1:15" ht="19.5" hidden="1" customHeight="1" outlineLevel="1">
      <c r="A11" s="392" t="str">
        <f>'RGVM FGD'!$B$2</f>
        <v>The University of Texas Rio Grande Valley Medical School (M)</v>
      </c>
      <c r="B11" s="137"/>
      <c r="C11" s="1102">
        <f>'RGVM Sum'!$C$6</f>
        <v>101</v>
      </c>
      <c r="D11" s="40"/>
      <c r="E11" s="138"/>
      <c r="K11" s="51"/>
      <c r="L11" s="51"/>
    </row>
    <row r="12" spans="1:15" ht="19.5" hidden="1" customHeight="1" outlineLevel="1">
      <c r="A12" s="392" t="str">
        <f>'SWM FGD'!$B$2</f>
        <v>The University of Texas Southwestern Medical Center</v>
      </c>
      <c r="B12" s="137"/>
      <c r="C12" s="1102">
        <f>'SWM Sum'!$C$6</f>
        <v>2166.6799999999998</v>
      </c>
      <c r="D12" s="40"/>
      <c r="E12" s="138"/>
      <c r="K12" s="51"/>
      <c r="L12" s="51"/>
    </row>
    <row r="13" spans="1:15" ht="19.5" hidden="1" customHeight="1" outlineLevel="1">
      <c r="A13" s="392" t="str">
        <f>'TAMHSC FGD'!$B$2</f>
        <v>Texas A&amp;M University System Health Science Center</v>
      </c>
      <c r="B13" s="137"/>
      <c r="C13" s="1102">
        <f>'TAMHSC Sum'!$C$6</f>
        <v>3113.57</v>
      </c>
      <c r="D13" s="40"/>
      <c r="E13" s="138"/>
      <c r="K13" s="51"/>
      <c r="L13" s="51"/>
    </row>
    <row r="14" spans="1:15" ht="19.5" hidden="1" customHeight="1" outlineLevel="1">
      <c r="A14" s="392" t="str">
        <f>'THC FGD'!$B$2</f>
        <v>The University of Texas Health Science Center at Tyler</v>
      </c>
      <c r="B14" s="137"/>
      <c r="C14" s="1102">
        <f>'THC Sum'!$C$6</f>
        <v>30.130000000000003</v>
      </c>
      <c r="D14" s="40"/>
      <c r="E14" s="138"/>
      <c r="K14" s="51"/>
      <c r="L14" s="51"/>
    </row>
    <row r="15" spans="1:15" ht="19.5" hidden="1" customHeight="1" outlineLevel="1">
      <c r="A15" s="392" t="str">
        <f>'TTUHSC FGD'!$B$2</f>
        <v>Texas Tech University Health Sciences Center</v>
      </c>
      <c r="B15" s="137"/>
      <c r="C15" s="1102">
        <f>'TTUHSC Sum'!$C$6</f>
        <v>5735.93</v>
      </c>
      <c r="D15" s="40"/>
      <c r="E15" s="138"/>
      <c r="K15" s="51"/>
      <c r="L15" s="51"/>
    </row>
    <row r="16" spans="1:15" ht="19.5" hidden="1" customHeight="1" outlineLevel="1">
      <c r="A16" s="392" t="str">
        <f>'TTUHSCEP FGD'!$B$2</f>
        <v>Texas Tech University Health Sciences Center at El Paso</v>
      </c>
      <c r="B16" s="137"/>
      <c r="C16" s="1102">
        <f>'TTUHSCEP Sum'!$C$6</f>
        <v>737.31000000000006</v>
      </c>
      <c r="D16" s="40"/>
      <c r="E16" s="138"/>
      <c r="K16" s="51"/>
      <c r="L16" s="51"/>
    </row>
    <row r="17" spans="1:15" ht="19.5" hidden="1" customHeight="1" outlineLevel="1">
      <c r="A17" s="392" t="str">
        <f>'UNTHSC FGD'!$B$2</f>
        <v>University of North Texas Health Science Center at Fort Worth</v>
      </c>
      <c r="B17" s="137"/>
      <c r="C17" s="1102">
        <f>'UNTHSC Sum'!$C$6</f>
        <v>2836.2200000000003</v>
      </c>
      <c r="D17" s="40"/>
      <c r="E17" s="138"/>
      <c r="K17" s="51"/>
      <c r="L17" s="51"/>
    </row>
    <row r="18" spans="1:15" ht="12.75" customHeight="1" collapsed="1">
      <c r="A18" s="78" t="s">
        <v>175</v>
      </c>
      <c r="B18" s="79"/>
      <c r="C18" s="80">
        <f>SUM(C6:C17)</f>
        <v>27608.730000000007</v>
      </c>
      <c r="E18" s="580"/>
      <c r="F18" s="581"/>
      <c r="K18" s="51"/>
      <c r="L18" s="51"/>
    </row>
    <row r="19" spans="1:15">
      <c r="B19" s="79"/>
      <c r="C19" s="79"/>
      <c r="F19" s="51"/>
      <c r="G19" s="51"/>
      <c r="H19" s="51"/>
      <c r="I19" s="693" t="s">
        <v>1114</v>
      </c>
      <c r="J19" s="684"/>
      <c r="K19" s="51"/>
      <c r="L19" s="51"/>
    </row>
    <row r="20" spans="1:15" ht="12.75" customHeight="1">
      <c r="A20" s="81" t="s">
        <v>74</v>
      </c>
      <c r="B20" s="81"/>
      <c r="C20" s="81"/>
      <c r="D20" s="51"/>
      <c r="E20" s="51"/>
      <c r="F20" s="51"/>
      <c r="G20" s="51"/>
      <c r="H20" s="51"/>
      <c r="I20" s="781">
        <f>FTSE!$K$106</f>
        <v>10948.399999999998</v>
      </c>
      <c r="J20" s="643"/>
      <c r="K20" s="51"/>
      <c r="L20" s="51"/>
      <c r="M20" s="51"/>
      <c r="N20" s="51"/>
      <c r="O20" s="51"/>
    </row>
    <row r="21" spans="1:15" ht="12.75" customHeight="1" thickBot="1">
      <c r="A21" s="78" t="s">
        <v>0</v>
      </c>
      <c r="B21" s="82"/>
      <c r="C21" s="143" t="s">
        <v>139</v>
      </c>
      <c r="D21" s="51"/>
      <c r="E21" s="51"/>
      <c r="F21" s="51"/>
      <c r="G21" s="51"/>
      <c r="H21" s="51"/>
      <c r="I21" s="51"/>
      <c r="J21" s="643"/>
      <c r="K21" s="51"/>
      <c r="L21" s="51"/>
      <c r="M21" s="51"/>
      <c r="N21" s="51"/>
      <c r="O21" s="51"/>
    </row>
    <row r="22" spans="1:15" ht="12.75" customHeight="1" thickTop="1">
      <c r="A22" s="74" t="s">
        <v>1108</v>
      </c>
      <c r="B22" s="83">
        <f>'Smmy FGD'!M22</f>
        <v>1745264029</v>
      </c>
      <c r="C22" s="83">
        <f>ROUND(B22/$C$18,0)</f>
        <v>63214</v>
      </c>
      <c r="D22" s="83">
        <f>'Smmy FGD'!F22</f>
        <v>0</v>
      </c>
      <c r="E22" s="143"/>
      <c r="F22" s="84">
        <f>B22-(SUM(D22:E22))</f>
        <v>1745264029</v>
      </c>
      <c r="G22" s="980" t="s">
        <v>1</v>
      </c>
      <c r="H22" s="981"/>
      <c r="I22" s="686" t="s">
        <v>1115</v>
      </c>
      <c r="J22" s="644">
        <f>ROUND(F22/$C$18,0)</f>
        <v>63214</v>
      </c>
      <c r="K22" s="51"/>
      <c r="L22" s="51"/>
      <c r="M22" s="51"/>
      <c r="N22" s="51"/>
      <c r="O22" s="51"/>
    </row>
    <row r="23" spans="1:15" ht="12.75" customHeight="1" thickBot="1">
      <c r="A23" s="74" t="s">
        <v>2</v>
      </c>
      <c r="B23" s="86">
        <f>'Smmy FGD'!M35</f>
        <v>180504283</v>
      </c>
      <c r="C23" s="86">
        <f>ROUND(B23/$C$18,0)</f>
        <v>6538</v>
      </c>
      <c r="D23" s="86">
        <f>'Smmy FGD'!F35</f>
        <v>0</v>
      </c>
      <c r="E23" s="73"/>
      <c r="F23" s="566">
        <f t="shared" ref="F23:F26" si="0">B23-(SUM(D23:E23))</f>
        <v>180504283</v>
      </c>
      <c r="G23" s="987">
        <f>SUM(F22:F23)</f>
        <v>1925768312</v>
      </c>
      <c r="H23" s="777"/>
      <c r="I23" s="796">
        <f>ROUND($G$23/$C$18,0)</f>
        <v>69752</v>
      </c>
      <c r="J23" s="645">
        <f t="shared" ref="J23:J26" si="1">ROUND(F23/$C$18,0)</f>
        <v>6538</v>
      </c>
      <c r="K23" s="51"/>
      <c r="L23" s="51"/>
      <c r="M23" s="51"/>
      <c r="N23" s="51"/>
      <c r="O23" s="51"/>
    </row>
    <row r="24" spans="1:15" ht="12.75" hidden="1" customHeight="1" thickTop="1" thickBot="1">
      <c r="A24" s="74" t="s">
        <v>1345</v>
      </c>
      <c r="B24" s="86"/>
      <c r="C24" s="86"/>
      <c r="D24" s="86"/>
      <c r="E24" s="73"/>
      <c r="F24" s="567"/>
      <c r="I24" s="688" t="s">
        <v>1116</v>
      </c>
      <c r="J24" s="645">
        <f t="shared" si="1"/>
        <v>0</v>
      </c>
      <c r="K24" s="51"/>
      <c r="L24" s="51"/>
      <c r="M24" s="51"/>
      <c r="N24" s="51"/>
      <c r="O24" s="568"/>
    </row>
    <row r="25" spans="1:15" ht="12.75" customHeight="1" thickTop="1">
      <c r="A25" s="74" t="s">
        <v>1298</v>
      </c>
      <c r="B25" s="86">
        <f>'Smmy FGD'!M61</f>
        <v>46698327</v>
      </c>
      <c r="C25" s="86">
        <f>ROUND(B25/$C$18,0)</f>
        <v>1691</v>
      </c>
      <c r="D25" s="86">
        <f>'Smmy FGD'!F61</f>
        <v>0</v>
      </c>
      <c r="E25" s="73"/>
      <c r="F25" s="786">
        <f t="shared" si="0"/>
        <v>46698327</v>
      </c>
      <c r="G25" s="780" t="s">
        <v>86</v>
      </c>
      <c r="H25" s="787"/>
      <c r="I25" s="797">
        <f>ROUND($G$23/$I$20,0)</f>
        <v>175895</v>
      </c>
      <c r="J25" s="645">
        <f t="shared" si="1"/>
        <v>1691</v>
      </c>
      <c r="K25" s="51"/>
      <c r="L25" s="51"/>
      <c r="M25" s="51"/>
      <c r="N25" s="51"/>
      <c r="O25" s="51"/>
    </row>
    <row r="26" spans="1:15" ht="12.75" customHeight="1" thickBot="1">
      <c r="A26" s="74" t="s">
        <v>46</v>
      </c>
      <c r="B26" s="86">
        <f>'Smmy FGD'!M74</f>
        <v>43576597</v>
      </c>
      <c r="C26" s="86">
        <f>ROUND(B26/$C$18,0)</f>
        <v>1578</v>
      </c>
      <c r="D26" s="86">
        <f>'Smmy FGD'!F74</f>
        <v>0</v>
      </c>
      <c r="E26" s="73"/>
      <c r="F26" s="567">
        <f t="shared" si="0"/>
        <v>43576597</v>
      </c>
      <c r="G26" s="687">
        <f>SUM(F25:F26)</f>
        <v>90274924</v>
      </c>
      <c r="H26" s="788"/>
      <c r="I26" s="51"/>
      <c r="J26" s="689">
        <f t="shared" si="1"/>
        <v>1578</v>
      </c>
      <c r="K26" s="51"/>
      <c r="L26" s="51"/>
      <c r="M26" s="51"/>
      <c r="N26" s="51"/>
      <c r="O26" s="51"/>
    </row>
    <row r="27" spans="1:15" ht="12.75" customHeight="1" thickTop="1">
      <c r="A27" s="87" t="s">
        <v>3</v>
      </c>
      <c r="B27" s="88">
        <f>SUM(B22:B26)</f>
        <v>2016043236</v>
      </c>
      <c r="C27" s="88">
        <f>SUM(C22:C26)</f>
        <v>73021</v>
      </c>
      <c r="D27" s="88">
        <f>SUM(D22:D26)</f>
        <v>0</v>
      </c>
      <c r="E27" s="88">
        <f>SUM(E22:E26)</f>
        <v>0</v>
      </c>
      <c r="F27" s="646">
        <f>SUM(F22:F26)</f>
        <v>2016043236</v>
      </c>
      <c r="G27" s="51"/>
      <c r="H27" s="51"/>
      <c r="I27" s="701"/>
      <c r="J27" s="669">
        <f>SUM(J22:J26)</f>
        <v>73021</v>
      </c>
      <c r="K27" s="51"/>
      <c r="L27" s="51"/>
      <c r="M27" s="51"/>
      <c r="N27" s="51"/>
      <c r="O27" s="51"/>
    </row>
    <row r="28" spans="1:15">
      <c r="D28" s="51"/>
      <c r="E28" s="51"/>
      <c r="F28" s="51"/>
      <c r="G28" s="51"/>
      <c r="H28" s="51"/>
      <c r="I28" s="51"/>
      <c r="J28" s="643"/>
      <c r="K28" s="51"/>
      <c r="L28" s="51"/>
      <c r="M28" s="51"/>
      <c r="N28" s="51"/>
      <c r="O28" s="51"/>
    </row>
    <row r="29" spans="1:15" ht="12.75" customHeight="1">
      <c r="A29" s="78" t="s">
        <v>4</v>
      </c>
      <c r="D29" s="51"/>
      <c r="E29" s="51"/>
      <c r="F29" s="51"/>
      <c r="G29" s="51"/>
      <c r="H29" s="51"/>
      <c r="I29" s="51"/>
      <c r="J29" s="643"/>
      <c r="K29" s="51"/>
      <c r="L29" s="51"/>
      <c r="M29" s="51"/>
      <c r="N29" s="51"/>
      <c r="O29" s="51"/>
    </row>
    <row r="30" spans="1:15">
      <c r="A30" s="74" t="s">
        <v>37</v>
      </c>
      <c r="B30" s="83">
        <f>'Smmy FGD'!M245</f>
        <v>243602236</v>
      </c>
      <c r="C30" s="83">
        <f>ROUND(B30/$C$18,0)</f>
        <v>8823</v>
      </c>
      <c r="D30" s="83">
        <f>'Smmy FGD'!F245</f>
        <v>0</v>
      </c>
      <c r="E30" s="143"/>
      <c r="F30" s="143">
        <f t="shared" ref="F30:F31" si="2">B30-(SUM(D30:E30))</f>
        <v>243602236</v>
      </c>
      <c r="G30" s="351"/>
      <c r="H30" s="351"/>
      <c r="I30" s="351"/>
      <c r="J30" s="644">
        <f>ROUND(F30/$C$18,0)</f>
        <v>8823</v>
      </c>
      <c r="K30" s="51"/>
      <c r="L30" s="51"/>
      <c r="M30" s="51"/>
      <c r="N30" s="51"/>
      <c r="O30" s="51"/>
    </row>
    <row r="31" spans="1:15" ht="13.5" thickBot="1">
      <c r="A31" s="74" t="s">
        <v>38</v>
      </c>
      <c r="B31" s="86">
        <f>'Smmy FGD'!M402</f>
        <v>62403543</v>
      </c>
      <c r="C31" s="86">
        <f>ROUND(B31/$C$18,0)</f>
        <v>2260</v>
      </c>
      <c r="D31" s="86">
        <f>'Smmy FGD'!F402</f>
        <v>8486299</v>
      </c>
      <c r="E31" s="73"/>
      <c r="F31" s="73">
        <f t="shared" si="2"/>
        <v>53917244</v>
      </c>
      <c r="G31" s="351"/>
      <c r="H31" s="351"/>
      <c r="I31" s="351"/>
      <c r="J31" s="645">
        <f>ROUND(F31/$C$18,0)</f>
        <v>1953</v>
      </c>
      <c r="K31" s="51"/>
      <c r="L31" s="51"/>
      <c r="M31" s="51"/>
      <c r="N31" s="51"/>
      <c r="O31" s="51"/>
    </row>
    <row r="32" spans="1:15" ht="14.25" thickTop="1" thickBot="1">
      <c r="A32" s="87" t="s">
        <v>5</v>
      </c>
      <c r="B32" s="88">
        <f>SUM(B30:B31)</f>
        <v>306005779</v>
      </c>
      <c r="C32" s="88">
        <f>SUM(C30:C31)</f>
        <v>11083</v>
      </c>
      <c r="D32" s="647">
        <f>SUM(D30:D31)</f>
        <v>8486299</v>
      </c>
      <c r="E32" s="648">
        <f>SUM(E30:E31)</f>
        <v>0</v>
      </c>
      <c r="F32" s="690">
        <f>SUM(F30:F31)</f>
        <v>297519480</v>
      </c>
      <c r="G32" s="650" t="s">
        <v>87</v>
      </c>
      <c r="H32" s="569"/>
      <c r="I32" s="570"/>
      <c r="J32" s="651">
        <f>SUM(J30:J31)</f>
        <v>10776</v>
      </c>
      <c r="K32" s="51"/>
      <c r="L32" s="51"/>
      <c r="M32" s="51"/>
      <c r="N32" s="51"/>
      <c r="O32" s="51"/>
    </row>
    <row r="33" spans="1:15" ht="12.75" customHeight="1" thickTop="1">
      <c r="D33" s="51"/>
      <c r="E33" s="51"/>
      <c r="F33" s="691"/>
      <c r="G33" s="51"/>
      <c r="H33" s="51"/>
      <c r="I33" s="51"/>
      <c r="J33" s="643"/>
      <c r="K33" s="51"/>
      <c r="L33" s="51"/>
      <c r="M33" s="51"/>
      <c r="N33" s="51"/>
      <c r="O33" s="51"/>
    </row>
    <row r="34" spans="1:15" ht="14.25" customHeight="1" thickBot="1">
      <c r="A34" s="78" t="s">
        <v>6</v>
      </c>
      <c r="D34" s="51"/>
      <c r="E34" s="51"/>
      <c r="F34" s="51"/>
      <c r="G34" s="51"/>
      <c r="H34" s="51"/>
      <c r="I34" s="51"/>
      <c r="J34" s="643"/>
      <c r="K34" s="51"/>
      <c r="L34" s="51"/>
      <c r="M34" s="51"/>
      <c r="N34" s="51"/>
      <c r="O34" s="51"/>
    </row>
    <row r="35" spans="1:15" ht="14.25" thickTop="1" thickBot="1">
      <c r="A35" s="87" t="s">
        <v>7</v>
      </c>
      <c r="B35" s="88">
        <f>'Smmy FGD'!M431</f>
        <v>892704561</v>
      </c>
      <c r="C35" s="88"/>
      <c r="D35" s="88">
        <f>'Smmy FGD'!F431</f>
        <v>0</v>
      </c>
      <c r="E35" s="648"/>
      <c r="F35" s="690">
        <f>B35-(SUM(D35:E35))</f>
        <v>892704561</v>
      </c>
      <c r="G35" s="652" t="s">
        <v>1162</v>
      </c>
      <c r="H35" s="569"/>
      <c r="I35" s="570"/>
      <c r="J35" s="668">
        <f>ROUND(F35/$C$18,0)</f>
        <v>32334</v>
      </c>
      <c r="K35" s="51"/>
      <c r="L35" s="51"/>
      <c r="M35" s="51"/>
      <c r="N35" s="51"/>
      <c r="O35" s="51"/>
    </row>
    <row r="36" spans="1:15" ht="13.5" thickTop="1">
      <c r="D36" s="51"/>
      <c r="E36" s="51"/>
      <c r="F36" s="51"/>
      <c r="G36" s="51"/>
      <c r="H36" s="51"/>
      <c r="I36" s="51"/>
      <c r="J36" s="643"/>
      <c r="K36" s="51"/>
      <c r="L36" s="51"/>
      <c r="M36" s="51"/>
      <c r="N36" s="51"/>
      <c r="O36" s="51"/>
    </row>
    <row r="37" spans="1:15">
      <c r="A37" s="78" t="s">
        <v>57</v>
      </c>
      <c r="D37" s="73"/>
      <c r="E37" s="82"/>
      <c r="F37" s="51"/>
      <c r="G37" s="51"/>
      <c r="H37" s="51"/>
      <c r="I37" s="51"/>
      <c r="J37" s="643"/>
      <c r="K37" s="51"/>
      <c r="L37" s="51"/>
      <c r="M37" s="51"/>
      <c r="N37" s="51"/>
      <c r="O37" s="51"/>
    </row>
    <row r="38" spans="1:15">
      <c r="A38" s="87" t="s">
        <v>56</v>
      </c>
      <c r="B38" s="88">
        <f>'Smmy FGD'!M446</f>
        <v>2167265544</v>
      </c>
      <c r="C38" s="88"/>
      <c r="D38" s="677">
        <f>'Smmy FGD'!F446</f>
        <v>0</v>
      </c>
      <c r="E38" s="88">
        <f>B38-D38</f>
        <v>2167265544</v>
      </c>
      <c r="F38" s="88">
        <f t="shared" ref="F38" si="3">B38-(SUM(D38:E38))</f>
        <v>0</v>
      </c>
      <c r="G38" s="570"/>
      <c r="H38" s="570"/>
      <c r="I38" s="351"/>
      <c r="J38" s="644"/>
      <c r="K38" s="51"/>
      <c r="L38" s="51"/>
      <c r="M38" s="51"/>
      <c r="N38" s="51"/>
      <c r="O38" s="51"/>
    </row>
    <row r="39" spans="1:15">
      <c r="D39" s="357"/>
      <c r="E39" s="782"/>
      <c r="F39" s="570"/>
      <c r="G39" s="570"/>
      <c r="H39" s="570"/>
      <c r="I39" s="351"/>
      <c r="J39" s="645"/>
      <c r="K39" s="51"/>
      <c r="L39" s="51"/>
      <c r="M39" s="51"/>
      <c r="N39" s="51"/>
      <c r="O39" s="51"/>
    </row>
    <row r="40" spans="1:15">
      <c r="A40" s="78" t="s">
        <v>55</v>
      </c>
      <c r="D40" s="284"/>
      <c r="E40" s="348"/>
      <c r="F40" s="570"/>
      <c r="G40" s="570"/>
      <c r="H40" s="570"/>
      <c r="I40" s="351"/>
      <c r="J40" s="645"/>
      <c r="K40" s="51"/>
      <c r="L40" s="51"/>
      <c r="M40" s="51"/>
      <c r="N40" s="51"/>
      <c r="O40" s="51"/>
    </row>
    <row r="41" spans="1:15">
      <c r="A41" s="87" t="s">
        <v>56</v>
      </c>
      <c r="B41" s="88">
        <f>'Smmy FGD'!M461</f>
        <v>6317449622</v>
      </c>
      <c r="C41" s="88"/>
      <c r="D41" s="88">
        <f>'Smmy FGD'!F461</f>
        <v>0</v>
      </c>
      <c r="E41" s="88">
        <f>B41-D41</f>
        <v>6317449622</v>
      </c>
      <c r="F41" s="88">
        <f t="shared" ref="F41" si="4">B41-(SUM(D41:E41))</f>
        <v>0</v>
      </c>
      <c r="G41" s="570"/>
      <c r="H41" s="570"/>
      <c r="I41" s="351"/>
      <c r="J41" s="645"/>
      <c r="K41" s="51"/>
      <c r="L41" s="51"/>
      <c r="M41" s="51"/>
      <c r="N41" s="51"/>
      <c r="O41" s="51"/>
    </row>
    <row r="42" spans="1:15">
      <c r="D42" s="51"/>
      <c r="E42" s="73"/>
      <c r="F42" s="73"/>
      <c r="G42" s="351"/>
      <c r="H42" s="351"/>
      <c r="I42" s="351"/>
      <c r="J42" s="645"/>
      <c r="K42" s="51"/>
      <c r="L42" s="51"/>
      <c r="M42" s="51"/>
      <c r="N42" s="51"/>
      <c r="O42" s="51"/>
    </row>
    <row r="43" spans="1:15" ht="12.75" customHeight="1">
      <c r="A43" s="78" t="s">
        <v>8</v>
      </c>
      <c r="D43" s="51"/>
      <c r="E43" s="73"/>
      <c r="F43" s="73"/>
      <c r="G43" s="24"/>
      <c r="H43" s="24"/>
      <c r="I43" s="24"/>
      <c r="J43" s="645"/>
      <c r="K43" s="51"/>
      <c r="L43" s="51"/>
      <c r="M43" s="51"/>
      <c r="N43" s="51"/>
      <c r="O43" s="51"/>
    </row>
    <row r="44" spans="1:15" ht="12.75" customHeight="1">
      <c r="A44" s="74" t="s">
        <v>40</v>
      </c>
      <c r="B44" s="83">
        <f>'Smmy FGD'!M476</f>
        <v>544285096</v>
      </c>
      <c r="C44" s="83"/>
      <c r="D44" s="83">
        <f>'Smmy FGD'!F476</f>
        <v>924246</v>
      </c>
      <c r="E44" s="143"/>
      <c r="F44" s="143">
        <f t="shared" ref="F44:F49" si="5">B44-(SUM(D44:E44))</f>
        <v>543360850</v>
      </c>
      <c r="G44" s="351"/>
      <c r="H44" s="351"/>
      <c r="I44" s="351"/>
      <c r="J44" s="644">
        <f t="shared" ref="J44:J49" si="6">ROUND(F44/$C$18,0)</f>
        <v>19681</v>
      </c>
      <c r="K44" s="51"/>
      <c r="L44" s="51"/>
      <c r="M44" s="51"/>
      <c r="N44" s="51"/>
      <c r="O44" s="51"/>
    </row>
    <row r="45" spans="1:15">
      <c r="A45" s="74" t="s">
        <v>9</v>
      </c>
      <c r="B45" s="86">
        <f>'Smmy FGD'!M489</f>
        <v>940655596</v>
      </c>
      <c r="C45" s="86"/>
      <c r="D45" s="86">
        <f>'Smmy FGD'!F489</f>
        <v>0</v>
      </c>
      <c r="E45" s="73"/>
      <c r="F45" s="73">
        <f t="shared" si="5"/>
        <v>940655596</v>
      </c>
      <c r="G45" s="351"/>
      <c r="H45" s="351"/>
      <c r="I45" s="351"/>
      <c r="J45" s="645">
        <f t="shared" si="6"/>
        <v>34071</v>
      </c>
      <c r="K45" s="51"/>
      <c r="L45" s="51"/>
      <c r="M45" s="51"/>
      <c r="N45" s="51"/>
      <c r="O45" s="51"/>
    </row>
    <row r="46" spans="1:15" ht="13.5" thickBot="1">
      <c r="A46" s="74" t="s">
        <v>10</v>
      </c>
      <c r="B46" s="86">
        <f>'Smmy FGD'!M502</f>
        <v>1017149586</v>
      </c>
      <c r="C46" s="86"/>
      <c r="D46" s="86">
        <f>'Smmy FGD'!F502</f>
        <v>490621</v>
      </c>
      <c r="E46" s="73"/>
      <c r="F46" s="73">
        <f t="shared" si="5"/>
        <v>1016658965</v>
      </c>
      <c r="G46" s="351"/>
      <c r="H46" s="351"/>
      <c r="I46" s="351"/>
      <c r="J46" s="645">
        <f t="shared" si="6"/>
        <v>36824</v>
      </c>
      <c r="K46" s="51"/>
      <c r="L46" s="51"/>
      <c r="M46" s="51"/>
      <c r="N46" s="51"/>
      <c r="O46" s="51"/>
    </row>
    <row r="47" spans="1:15" ht="13.5" thickBot="1">
      <c r="A47" s="74" t="s">
        <v>11</v>
      </c>
      <c r="B47" s="86">
        <f>'Smmy FGD'!M515</f>
        <v>209052351</v>
      </c>
      <c r="C47" s="86"/>
      <c r="D47" s="86">
        <f>'Smmy FGD'!F515</f>
        <v>0</v>
      </c>
      <c r="E47" s="73"/>
      <c r="F47" s="73">
        <f t="shared" si="5"/>
        <v>209052351</v>
      </c>
      <c r="G47" s="351"/>
      <c r="H47" s="351"/>
      <c r="I47" s="351"/>
      <c r="J47" s="645">
        <f t="shared" si="6"/>
        <v>7572</v>
      </c>
      <c r="K47" s="1262" t="s">
        <v>1084</v>
      </c>
      <c r="L47" s="1245"/>
      <c r="M47" s="1245"/>
      <c r="N47" s="1245"/>
      <c r="O47" s="1246"/>
    </row>
    <row r="48" spans="1:15" ht="13.5" thickBot="1">
      <c r="A48" s="92" t="s">
        <v>1362</v>
      </c>
      <c r="B48" s="86">
        <f>'Smmy FGD'!M528</f>
        <v>123232260</v>
      </c>
      <c r="C48" s="86"/>
      <c r="D48" s="86">
        <f>'Smmy FGD'!F528</f>
        <v>123232260</v>
      </c>
      <c r="E48" s="73"/>
      <c r="F48" s="73">
        <f t="shared" si="5"/>
        <v>0</v>
      </c>
      <c r="G48" s="351"/>
      <c r="H48" s="351"/>
      <c r="I48" s="351"/>
      <c r="J48" s="645">
        <f t="shared" si="6"/>
        <v>0</v>
      </c>
      <c r="K48" s="1262" t="s">
        <v>1017</v>
      </c>
      <c r="L48" s="1245"/>
      <c r="M48" s="1245"/>
      <c r="N48" s="1245"/>
      <c r="O48" s="1246"/>
    </row>
    <row r="49" spans="1:28" ht="12.75" customHeight="1" thickBot="1">
      <c r="A49" s="93" t="s">
        <v>41</v>
      </c>
      <c r="B49" s="86">
        <f>'Smmy FGD'!M541</f>
        <v>514940347</v>
      </c>
      <c r="C49" s="86"/>
      <c r="D49" s="86">
        <f>'Smmy FGD'!F541</f>
        <v>30340</v>
      </c>
      <c r="E49" s="73"/>
      <c r="F49" s="73">
        <f t="shared" si="5"/>
        <v>514910007</v>
      </c>
      <c r="G49" s="24"/>
      <c r="H49" s="24"/>
      <c r="I49" s="24"/>
      <c r="J49" s="645">
        <f t="shared" si="6"/>
        <v>18650</v>
      </c>
      <c r="K49" s="1263" t="s">
        <v>1020</v>
      </c>
      <c r="L49" s="1263" t="s">
        <v>1018</v>
      </c>
      <c r="M49" s="1263" t="s">
        <v>1019</v>
      </c>
      <c r="N49" s="1263" t="s">
        <v>1278</v>
      </c>
      <c r="O49" s="1263" t="s">
        <v>1022</v>
      </c>
      <c r="P49" s="89"/>
      <c r="Q49" s="89"/>
      <c r="R49" s="89"/>
      <c r="S49" s="89"/>
      <c r="T49" s="89"/>
      <c r="U49" s="89"/>
      <c r="V49" s="89"/>
      <c r="W49" s="89"/>
      <c r="X49" s="89"/>
      <c r="Y49" s="89"/>
      <c r="Z49" s="89"/>
      <c r="AA49" s="89"/>
      <c r="AB49" s="89"/>
    </row>
    <row r="50" spans="1:28" ht="12.75" customHeight="1" thickTop="1" thickBot="1">
      <c r="A50" s="87" t="s">
        <v>3</v>
      </c>
      <c r="B50" s="88">
        <f>SUM(B44:B49)</f>
        <v>3349315236</v>
      </c>
      <c r="C50" s="88"/>
      <c r="D50" s="291">
        <f>SUM(D44:D49)</f>
        <v>124677467</v>
      </c>
      <c r="E50" s="291">
        <f>SUM(E44:E49)</f>
        <v>0</v>
      </c>
      <c r="F50" s="692">
        <f>SUM(F44:F49)</f>
        <v>3224637769</v>
      </c>
      <c r="G50" s="1259" t="s">
        <v>8</v>
      </c>
      <c r="H50" s="1260"/>
      <c r="I50" s="693" t="s">
        <v>1118</v>
      </c>
      <c r="J50" s="653">
        <f>SUM(J44:J49)</f>
        <v>116798</v>
      </c>
      <c r="K50" s="1264"/>
      <c r="L50" s="1264"/>
      <c r="M50" s="1264"/>
      <c r="N50" s="1264" t="s">
        <v>1021</v>
      </c>
      <c r="O50" s="1264" t="s">
        <v>1022</v>
      </c>
    </row>
    <row r="51" spans="1:28" ht="13.5" thickTop="1">
      <c r="A51" s="94" t="s">
        <v>71</v>
      </c>
      <c r="B51" s="47">
        <f>B27+B32+B35+B38+B41+B50</f>
        <v>15048783978</v>
      </c>
      <c r="C51" s="139"/>
      <c r="D51" s="47">
        <f>D27+D32+D35+D38+D41+D50</f>
        <v>133163766</v>
      </c>
      <c r="E51" s="47">
        <f>E27+E32+E35+E38+E41+E50</f>
        <v>8484715166</v>
      </c>
      <c r="F51" s="778">
        <f>F50+F35+F32+F27</f>
        <v>6430905046</v>
      </c>
      <c r="G51" s="1261" t="s">
        <v>89</v>
      </c>
      <c r="H51" s="1261"/>
      <c r="I51" s="793">
        <f>ROUND($G$53/$C$18,0)</f>
        <v>229660</v>
      </c>
      <c r="J51" s="654">
        <f>J27+J32+J35+J50</f>
        <v>232929</v>
      </c>
      <c r="K51" s="1264"/>
      <c r="L51" s="1264"/>
      <c r="M51" s="1264"/>
      <c r="N51" s="1264"/>
      <c r="O51" s="1264"/>
    </row>
    <row r="52" spans="1:28" ht="13.5" thickBot="1">
      <c r="D52" s="351"/>
      <c r="E52" s="351"/>
      <c r="F52" s="351" t="s">
        <v>1117</v>
      </c>
      <c r="G52" s="779">
        <f>G26*-1</f>
        <v>-90274924</v>
      </c>
      <c r="H52" s="351"/>
      <c r="I52" s="693" t="s">
        <v>1120</v>
      </c>
      <c r="J52" s="655"/>
      <c r="K52" s="1265"/>
      <c r="L52" s="1265"/>
      <c r="M52" s="1265"/>
      <c r="N52" s="1265"/>
      <c r="O52" s="1265"/>
    </row>
    <row r="53" spans="1:28" ht="14.25" thickTop="1" thickBot="1">
      <c r="A53" s="81" t="s">
        <v>75</v>
      </c>
      <c r="B53" s="81"/>
      <c r="C53" s="81"/>
      <c r="D53" s="656"/>
      <c r="E53" s="656"/>
      <c r="F53" s="694" t="s">
        <v>1119</v>
      </c>
      <c r="G53" s="695">
        <f>F51+G52</f>
        <v>6340630122</v>
      </c>
      <c r="H53" s="51"/>
      <c r="I53" s="794">
        <f>ROUND($G$53/$I$20,0)</f>
        <v>579138</v>
      </c>
      <c r="J53" s="51"/>
      <c r="K53" s="571"/>
      <c r="L53" s="571"/>
      <c r="M53" s="571"/>
      <c r="N53" s="571"/>
      <c r="O53" s="571"/>
    </row>
    <row r="54" spans="1:28" ht="13.5" thickTop="1">
      <c r="A54" s="95" t="s">
        <v>14</v>
      </c>
      <c r="B54" s="83">
        <f>'Smmy FGD'!M581</f>
        <v>2999569033</v>
      </c>
      <c r="C54" s="83">
        <f t="shared" ref="C54:C64" si="7">ROUND(B54/$C$18,0)</f>
        <v>108646</v>
      </c>
      <c r="D54" s="83">
        <f>'Smmy FGD'!F581</f>
        <v>0</v>
      </c>
      <c r="E54" s="143"/>
      <c r="F54" s="143">
        <f t="shared" ref="F54:F56" si="8">B54-(SUM(D54:E54))</f>
        <v>2999569033</v>
      </c>
      <c r="G54" s="351"/>
      <c r="H54" s="1048" t="s">
        <v>1394</v>
      </c>
      <c r="I54" s="1047">
        <f>ROUND(F54/$C$18,0)</f>
        <v>108646</v>
      </c>
      <c r="J54" s="351" t="s">
        <v>669</v>
      </c>
      <c r="K54" s="143">
        <f>F54</f>
        <v>2999569033</v>
      </c>
      <c r="L54" s="143">
        <f>K54</f>
        <v>2999569033</v>
      </c>
      <c r="M54" s="143"/>
      <c r="N54" s="143"/>
      <c r="O54" s="143"/>
    </row>
    <row r="55" spans="1:28">
      <c r="A55" s="95" t="s">
        <v>15</v>
      </c>
      <c r="B55" s="86">
        <f>'Smmy FGD'!M594</f>
        <v>1751366403</v>
      </c>
      <c r="C55" s="86">
        <f t="shared" si="7"/>
        <v>63435</v>
      </c>
      <c r="D55" s="86">
        <f>'Smmy FGD'!F594</f>
        <v>0</v>
      </c>
      <c r="E55" s="73"/>
      <c r="F55" s="73">
        <f t="shared" si="8"/>
        <v>1751366403</v>
      </c>
      <c r="G55" s="351"/>
      <c r="H55" s="351"/>
      <c r="J55" s="351" t="s">
        <v>1093</v>
      </c>
      <c r="K55" s="357">
        <f>F55</f>
        <v>1751366403</v>
      </c>
      <c r="L55" s="357">
        <f>K55</f>
        <v>1751366403</v>
      </c>
      <c r="M55" s="357"/>
      <c r="N55" s="357"/>
      <c r="O55" s="357"/>
    </row>
    <row r="56" spans="1:28">
      <c r="A56" s="95" t="s">
        <v>16</v>
      </c>
      <c r="B56" s="86">
        <f>'Smmy FGD'!M607</f>
        <v>323289387</v>
      </c>
      <c r="C56" s="86"/>
      <c r="D56" s="86">
        <f>'Smmy FGD'!F478</f>
        <v>0</v>
      </c>
      <c r="E56" s="284">
        <f>B56-D56</f>
        <v>323289387</v>
      </c>
      <c r="F56" s="73">
        <f t="shared" si="8"/>
        <v>0</v>
      </c>
      <c r="G56" s="351"/>
      <c r="H56" s="351"/>
      <c r="I56" s="351"/>
      <c r="J56" s="351" t="s">
        <v>1094</v>
      </c>
      <c r="K56" s="670"/>
      <c r="L56" s="671"/>
      <c r="M56" s="671" t="s">
        <v>1095</v>
      </c>
      <c r="N56" s="671"/>
      <c r="O56" s="672"/>
    </row>
    <row r="57" spans="1:28">
      <c r="A57" s="96" t="s">
        <v>55</v>
      </c>
      <c r="B57" s="86">
        <f>'Smmy FGD'!M620</f>
        <v>6076121613</v>
      </c>
      <c r="C57" s="86"/>
      <c r="D57" s="86">
        <f>'Smmy FGD'!F620</f>
        <v>0</v>
      </c>
      <c r="E57" s="284">
        <f>B57-D57</f>
        <v>6076121613</v>
      </c>
      <c r="F57" s="73">
        <f t="shared" ref="F57" si="9">B57-(SUM(D57:E57))</f>
        <v>0</v>
      </c>
      <c r="G57" s="351"/>
      <c r="H57" s="51"/>
      <c r="I57" s="51"/>
      <c r="J57" s="51" t="s">
        <v>1096</v>
      </c>
      <c r="K57" s="1266" t="str">
        <f>IF($C$6="","","Not Included")</f>
        <v>Not Included</v>
      </c>
      <c r="L57" s="1267"/>
      <c r="M57" s="1267"/>
      <c r="N57" s="1267"/>
      <c r="O57" s="1268"/>
    </row>
    <row r="58" spans="1:28">
      <c r="A58" s="95" t="s">
        <v>17</v>
      </c>
      <c r="B58" s="86">
        <f>'Smmy FGD'!M633</f>
        <v>567907925</v>
      </c>
      <c r="C58" s="86">
        <f t="shared" si="7"/>
        <v>20570</v>
      </c>
      <c r="D58" s="86">
        <f>'Smmy FGD'!F633</f>
        <v>0</v>
      </c>
      <c r="E58" s="73"/>
      <c r="F58" s="73">
        <f t="shared" ref="F58:F65" si="10">B58-(SUM(D58:E58))</f>
        <v>567907925</v>
      </c>
      <c r="G58" s="351"/>
      <c r="H58" s="1048" t="s">
        <v>1395</v>
      </c>
      <c r="I58" s="1047">
        <f>ROUND(F58/$C$18,0)</f>
        <v>20570</v>
      </c>
      <c r="J58" s="351" t="s">
        <v>1097</v>
      </c>
      <c r="K58" s="357">
        <f t="shared" ref="K58:K62" si="11">F58</f>
        <v>567907925</v>
      </c>
      <c r="L58" s="357">
        <f>K58</f>
        <v>567907925</v>
      </c>
      <c r="M58" s="357"/>
      <c r="N58" s="357"/>
      <c r="O58" s="357"/>
    </row>
    <row r="59" spans="1:28">
      <c r="A59" s="95" t="s">
        <v>18</v>
      </c>
      <c r="B59" s="86">
        <f>'Smmy FGD'!M646</f>
        <v>53599888</v>
      </c>
      <c r="C59" s="86">
        <f t="shared" si="7"/>
        <v>1941</v>
      </c>
      <c r="D59" s="86">
        <f>'Smmy FGD'!F646</f>
        <v>0</v>
      </c>
      <c r="E59" s="73"/>
      <c r="F59" s="73">
        <f t="shared" si="10"/>
        <v>53599888</v>
      </c>
      <c r="G59" s="351"/>
      <c r="H59" s="351"/>
      <c r="I59" s="351"/>
      <c r="J59" s="351" t="s">
        <v>1098</v>
      </c>
      <c r="K59" s="357">
        <f t="shared" si="11"/>
        <v>53599888</v>
      </c>
      <c r="L59" s="357"/>
      <c r="M59" s="357">
        <f>K59</f>
        <v>53599888</v>
      </c>
      <c r="N59" s="357"/>
      <c r="O59" s="357"/>
    </row>
    <row r="60" spans="1:28">
      <c r="A60" s="95" t="s">
        <v>19</v>
      </c>
      <c r="B60" s="86">
        <f>'Smmy FGD'!M659</f>
        <v>532579502</v>
      </c>
      <c r="C60" s="86">
        <f t="shared" si="7"/>
        <v>19290</v>
      </c>
      <c r="D60" s="86">
        <f>'Smmy FGD'!F659</f>
        <v>0</v>
      </c>
      <c r="E60" s="73"/>
      <c r="F60" s="73">
        <f t="shared" si="10"/>
        <v>532579502</v>
      </c>
      <c r="G60" s="351"/>
      <c r="H60" s="1048" t="s">
        <v>1396</v>
      </c>
      <c r="I60" s="1047">
        <f>ROUND(F60/$C$18,0)</f>
        <v>19290</v>
      </c>
      <c r="J60" s="351" t="s">
        <v>675</v>
      </c>
      <c r="K60" s="357">
        <f t="shared" si="11"/>
        <v>532579502</v>
      </c>
      <c r="L60" s="357"/>
      <c r="M60" s="357"/>
      <c r="N60" s="357">
        <f>K60</f>
        <v>532579502</v>
      </c>
      <c r="O60" s="357"/>
    </row>
    <row r="61" spans="1:28">
      <c r="A61" s="95" t="s">
        <v>20</v>
      </c>
      <c r="B61" s="86">
        <f>'Smmy FGD'!M672</f>
        <v>533150845</v>
      </c>
      <c r="C61" s="86"/>
      <c r="D61" s="86">
        <f>'Smmy FGD'!F672</f>
        <v>0</v>
      </c>
      <c r="E61" s="73"/>
      <c r="F61" s="73">
        <f t="shared" si="10"/>
        <v>533150845</v>
      </c>
      <c r="G61" s="351"/>
      <c r="H61" s="351"/>
      <c r="I61" s="351"/>
      <c r="J61" s="351" t="s">
        <v>676</v>
      </c>
      <c r="K61" s="357">
        <f t="shared" si="11"/>
        <v>533150845</v>
      </c>
      <c r="L61" s="357"/>
      <c r="M61" s="357"/>
      <c r="N61" s="357">
        <f>K61</f>
        <v>533150845</v>
      </c>
      <c r="O61" s="357"/>
    </row>
    <row r="62" spans="1:28">
      <c r="A62" s="95" t="s">
        <v>21</v>
      </c>
      <c r="B62" s="86">
        <f>'Smmy FGD'!M685</f>
        <v>38750602</v>
      </c>
      <c r="C62" s="86">
        <f t="shared" si="7"/>
        <v>1404</v>
      </c>
      <c r="D62" s="86">
        <f>'Smmy FGD'!F685</f>
        <v>0</v>
      </c>
      <c r="E62" s="73"/>
      <c r="F62" s="73">
        <f t="shared" si="10"/>
        <v>38750602</v>
      </c>
      <c r="G62" s="351"/>
      <c r="H62" s="351"/>
      <c r="I62" s="351"/>
      <c r="J62" s="351" t="s">
        <v>1099</v>
      </c>
      <c r="K62" s="357">
        <f t="shared" si="11"/>
        <v>38750602</v>
      </c>
      <c r="L62" s="357"/>
      <c r="M62" s="357">
        <f>K62</f>
        <v>38750602</v>
      </c>
      <c r="N62" s="357"/>
      <c r="O62" s="357"/>
    </row>
    <row r="63" spans="1:28">
      <c r="A63" s="95" t="s">
        <v>1363</v>
      </c>
      <c r="B63" s="86">
        <f>'Smmy FGD'!M698</f>
        <v>88055035</v>
      </c>
      <c r="C63" s="86"/>
      <c r="D63" s="660">
        <f>B63</f>
        <v>88055035</v>
      </c>
      <c r="E63" s="73"/>
      <c r="F63" s="73">
        <f t="shared" si="10"/>
        <v>0</v>
      </c>
      <c r="G63" s="351"/>
      <c r="H63" s="351"/>
      <c r="I63" s="351"/>
      <c r="J63" s="351" t="s">
        <v>660</v>
      </c>
      <c r="K63" s="670"/>
      <c r="L63" s="671"/>
      <c r="M63" s="671" t="s">
        <v>1095</v>
      </c>
      <c r="N63" s="671"/>
      <c r="O63" s="672"/>
    </row>
    <row r="64" spans="1:28">
      <c r="A64" s="95" t="s">
        <v>65</v>
      </c>
      <c r="B64" s="86">
        <f>'Smmy FGD'!M711</f>
        <v>175715057</v>
      </c>
      <c r="C64" s="86">
        <f t="shared" si="7"/>
        <v>6364</v>
      </c>
      <c r="D64" s="86">
        <f>'Smmy FGD'!F711</f>
        <v>1683394</v>
      </c>
      <c r="E64" s="73"/>
      <c r="F64" s="73">
        <f t="shared" si="10"/>
        <v>174031663</v>
      </c>
      <c r="G64" s="351"/>
      <c r="H64" s="351"/>
      <c r="I64" s="351"/>
      <c r="J64" s="351" t="s">
        <v>1100</v>
      </c>
      <c r="K64" s="357">
        <f t="shared" ref="K64:K65" si="12">F64</f>
        <v>174031663</v>
      </c>
      <c r="L64" s="357"/>
      <c r="M64" s="357"/>
      <c r="N64" s="357"/>
      <c r="O64" s="357">
        <f>K64</f>
        <v>174031663</v>
      </c>
    </row>
    <row r="65" spans="1:28" ht="13.5" thickBot="1">
      <c r="A65" s="74" t="s">
        <v>47</v>
      </c>
      <c r="B65" s="86">
        <f>'Smmy FGD'!M724</f>
        <v>26049887</v>
      </c>
      <c r="C65" s="86"/>
      <c r="D65" s="86">
        <f>'Smmy FGD'!F724</f>
        <v>0</v>
      </c>
      <c r="E65" s="73"/>
      <c r="F65" s="73">
        <f t="shared" si="10"/>
        <v>26049887</v>
      </c>
      <c r="G65" s="24"/>
      <c r="H65" s="1048" t="s">
        <v>1397</v>
      </c>
      <c r="I65" s="1047">
        <f>ROUND(SUM(F65+F64+F62+F61+F59+F55)/$C$18,0)</f>
        <v>93338</v>
      </c>
      <c r="J65" s="572" t="s">
        <v>1022</v>
      </c>
      <c r="K65" s="357">
        <f t="shared" si="12"/>
        <v>26049887</v>
      </c>
      <c r="L65" s="573"/>
      <c r="M65" s="573"/>
      <c r="N65" s="573"/>
      <c r="O65" s="357">
        <f>K65</f>
        <v>26049887</v>
      </c>
      <c r="P65" s="89"/>
      <c r="Q65" s="89"/>
      <c r="R65" s="89"/>
      <c r="S65" s="89"/>
      <c r="T65" s="89"/>
      <c r="U65" s="89"/>
      <c r="V65" s="89"/>
      <c r="W65" s="89"/>
      <c r="X65" s="89"/>
      <c r="Y65" s="89"/>
      <c r="Z65" s="89"/>
      <c r="AA65" s="89"/>
      <c r="AB65" s="89"/>
    </row>
    <row r="66" spans="1:28" ht="14.25" customHeight="1" thickTop="1" thickBot="1">
      <c r="A66" s="97" t="s">
        <v>72</v>
      </c>
      <c r="B66" s="48">
        <f>SUM(B54:B65)</f>
        <v>13166155177</v>
      </c>
      <c r="C66" s="48"/>
      <c r="D66" s="48">
        <f>SUM(D54:D65)</f>
        <v>89738429</v>
      </c>
      <c r="E66" s="48">
        <f>SUM(E54:E65)</f>
        <v>6399411000</v>
      </c>
      <c r="F66" s="649">
        <f>SUM(F54:F65)</f>
        <v>6677005748</v>
      </c>
      <c r="G66" s="1252" t="s">
        <v>1121</v>
      </c>
      <c r="H66" s="1253"/>
      <c r="I66" s="697" t="s">
        <v>1169</v>
      </c>
      <c r="J66" s="572" t="s">
        <v>1101</v>
      </c>
      <c r="K66" s="574">
        <f>SUM(K54:K65)</f>
        <v>6677005748</v>
      </c>
      <c r="L66" s="574">
        <f>SUM(L54:L65)</f>
        <v>5318843361</v>
      </c>
      <c r="M66" s="574">
        <f>SUM(M54:M65)</f>
        <v>92350490</v>
      </c>
      <c r="N66" s="574">
        <f>SUM(N54:N65)</f>
        <v>1065730347</v>
      </c>
      <c r="O66" s="574">
        <f>SUM(O54:O65)</f>
        <v>200081550</v>
      </c>
    </row>
    <row r="67" spans="1:28" ht="14.25" customHeight="1" thickTop="1" thickBot="1">
      <c r="A67" s="92"/>
      <c r="D67" s="51"/>
      <c r="E67" s="51"/>
      <c r="F67" s="575"/>
      <c r="G67" s="1254"/>
      <c r="H67" s="1255"/>
      <c r="I67" s="699">
        <f>ROUND(F66/C18,0)</f>
        <v>241844</v>
      </c>
      <c r="J67" s="1258" t="s">
        <v>1102</v>
      </c>
      <c r="K67" s="573"/>
      <c r="L67" s="573"/>
      <c r="M67" s="573"/>
      <c r="N67" s="573"/>
      <c r="O67" s="573"/>
    </row>
    <row r="68" spans="1:28" ht="17.25" customHeight="1" thickBot="1">
      <c r="A68" s="78" t="s">
        <v>23</v>
      </c>
      <c r="D68" s="51"/>
      <c r="E68" s="51"/>
      <c r="F68" s="576"/>
      <c r="G68" s="1254"/>
      <c r="H68" s="1255"/>
      <c r="I68" s="693" t="s">
        <v>1170</v>
      </c>
      <c r="J68" s="1258"/>
      <c r="K68" s="700">
        <f>ROUND(K66/$C$18,2)</f>
        <v>241844</v>
      </c>
      <c r="L68" s="700">
        <f>ROUND(L66/$C$18,2)</f>
        <v>192650.78</v>
      </c>
      <c r="M68" s="700">
        <f>ROUND(M66/$C$18,2)</f>
        <v>3344.97</v>
      </c>
      <c r="N68" s="700">
        <f>ROUND(N66/$C$18,2)</f>
        <v>38601.21</v>
      </c>
      <c r="O68" s="700">
        <f>ROUND(O66/$C$18,2)</f>
        <v>7247.04</v>
      </c>
      <c r="P68" s="89"/>
      <c r="Q68" s="89"/>
      <c r="R68" s="89"/>
      <c r="S68" s="89"/>
      <c r="T68" s="89"/>
      <c r="U68" s="89"/>
      <c r="V68" s="89"/>
      <c r="W68" s="89"/>
      <c r="X68" s="89"/>
      <c r="Y68" s="89"/>
      <c r="Z68" s="89"/>
      <c r="AA68" s="89"/>
      <c r="AB68" s="89"/>
    </row>
    <row r="69" spans="1:28" ht="13.5" thickBot="1">
      <c r="A69" s="74" t="s">
        <v>66</v>
      </c>
      <c r="B69" s="83">
        <f>'Smmy FGD'!M752</f>
        <v>-1198375886</v>
      </c>
      <c r="C69" s="86"/>
      <c r="D69" s="83">
        <f>'Smmy FGD'!F752</f>
        <v>0</v>
      </c>
      <c r="E69" s="143"/>
      <c r="F69" s="639">
        <f t="shared" ref="F69" si="13">B69-(SUM(D69:E69))</f>
        <v>-1198375886</v>
      </c>
      <c r="G69" s="1256"/>
      <c r="H69" s="1257"/>
      <c r="I69" s="794">
        <f>ROUND($I$75/$I$20,0)</f>
        <v>476164</v>
      </c>
      <c r="J69" s="577"/>
      <c r="K69" s="24"/>
      <c r="L69" s="24"/>
      <c r="M69" s="24"/>
      <c r="N69" s="24"/>
      <c r="O69" s="24"/>
      <c r="P69" s="89"/>
      <c r="Q69" s="89"/>
      <c r="R69" s="89"/>
      <c r="S69" s="89"/>
      <c r="T69" s="89"/>
      <c r="U69" s="89"/>
      <c r="V69" s="89"/>
      <c r="W69" s="89"/>
      <c r="X69" s="89"/>
      <c r="Y69" s="89"/>
      <c r="Z69" s="89"/>
      <c r="AA69" s="89"/>
      <c r="AB69" s="89"/>
    </row>
    <row r="70" spans="1:28" ht="13.5" thickTop="1">
      <c r="A70" s="74" t="s">
        <v>615</v>
      </c>
      <c r="B70" s="86">
        <f>'Smmy FGD'!M765</f>
        <v>152441870</v>
      </c>
      <c r="C70" s="86"/>
      <c r="D70" s="86">
        <f>'Smmy FGD'!F765</f>
        <v>-14535354</v>
      </c>
      <c r="E70" s="82"/>
      <c r="F70" s="73">
        <f t="shared" ref="F70:F72" si="14">B70-(SUM(D70:E70))</f>
        <v>166977224</v>
      </c>
      <c r="G70" s="351"/>
      <c r="H70" s="51"/>
      <c r="I70" s="51"/>
      <c r="J70" s="351"/>
      <c r="K70" s="578"/>
      <c r="L70" s="578"/>
      <c r="M70" s="578"/>
      <c r="N70" s="578"/>
      <c r="O70" s="578"/>
    </row>
    <row r="71" spans="1:28">
      <c r="A71" s="98" t="s">
        <v>52</v>
      </c>
      <c r="B71" s="86">
        <f>'Smmy FGD'!M778</f>
        <v>512585065</v>
      </c>
      <c r="C71" s="86"/>
      <c r="D71" s="86">
        <f>'Smmy FGD'!F778</f>
        <v>0</v>
      </c>
      <c r="E71" s="82"/>
      <c r="F71" s="73">
        <f t="shared" si="14"/>
        <v>512585065</v>
      </c>
      <c r="G71" s="351" t="s">
        <v>1172</v>
      </c>
      <c r="H71" s="51"/>
      <c r="I71" s="143">
        <f>'THC Sum'!F54</f>
        <v>66278750</v>
      </c>
      <c r="J71" s="658"/>
      <c r="K71" s="658"/>
      <c r="L71" s="51"/>
      <c r="M71" s="658"/>
      <c r="N71" s="658"/>
      <c r="O71" s="658"/>
    </row>
    <row r="72" spans="1:28" ht="12" customHeight="1">
      <c r="A72" s="74" t="s">
        <v>43</v>
      </c>
      <c r="B72" s="86">
        <f>'Smmy FGD'!M791</f>
        <v>-418600076</v>
      </c>
      <c r="C72" s="86"/>
      <c r="D72" s="86">
        <f>'Smmy FGD'!F791</f>
        <v>-29481932</v>
      </c>
      <c r="E72" s="82"/>
      <c r="F72" s="73">
        <f t="shared" si="14"/>
        <v>-389118144</v>
      </c>
      <c r="G72" s="572" t="s">
        <v>1173</v>
      </c>
      <c r="H72" s="51"/>
      <c r="I72" s="1049">
        <f>'MDA Sum'!F54</f>
        <v>1397497530</v>
      </c>
      <c r="J72" s="658"/>
      <c r="K72" s="658"/>
      <c r="L72" s="658"/>
      <c r="M72" s="658"/>
      <c r="N72" s="658"/>
      <c r="O72" s="658"/>
      <c r="P72" s="89"/>
      <c r="Q72" s="89"/>
      <c r="R72" s="89"/>
      <c r="S72" s="89"/>
      <c r="T72" s="89"/>
      <c r="U72" s="89"/>
      <c r="V72" s="89"/>
      <c r="W72" s="89"/>
      <c r="X72" s="89"/>
      <c r="Y72" s="89"/>
      <c r="Z72" s="89"/>
      <c r="AA72" s="89"/>
      <c r="AB72" s="89"/>
    </row>
    <row r="73" spans="1:28">
      <c r="A73" s="87" t="s">
        <v>3</v>
      </c>
      <c r="B73" s="88">
        <f>SUM(B69:B72)</f>
        <v>-951949027</v>
      </c>
      <c r="C73" s="88"/>
      <c r="D73" s="88">
        <f>SUM(D69:D72)</f>
        <v>-44017286</v>
      </c>
      <c r="E73" s="88">
        <f>SUM(E69:E72)</f>
        <v>0</v>
      </c>
      <c r="F73" s="99">
        <f>SUM(F69:F72)</f>
        <v>-907931741</v>
      </c>
      <c r="G73" s="351"/>
      <c r="H73" s="351"/>
      <c r="I73" s="776">
        <f>SUM(I71:I72)</f>
        <v>1463776280</v>
      </c>
      <c r="J73" s="658"/>
      <c r="K73" s="658"/>
      <c r="L73" s="658"/>
      <c r="M73" s="658"/>
      <c r="N73" s="658"/>
      <c r="O73" s="658"/>
    </row>
    <row r="74" spans="1:28">
      <c r="D74" s="51"/>
      <c r="E74" s="51"/>
      <c r="F74" s="51"/>
      <c r="G74" s="51"/>
      <c r="H74" s="51"/>
      <c r="I74" s="143"/>
      <c r="J74" s="51" t="s">
        <v>1083</v>
      </c>
      <c r="K74" s="51"/>
      <c r="L74" s="51"/>
      <c r="M74" s="51"/>
      <c r="N74" s="51"/>
      <c r="O74" s="51"/>
    </row>
    <row r="75" spans="1:28" ht="13.5" customHeight="1">
      <c r="A75" s="78" t="s">
        <v>24</v>
      </c>
      <c r="B75" s="83"/>
      <c r="D75" s="51"/>
      <c r="E75" s="51"/>
      <c r="F75" s="579"/>
      <c r="G75" s="1269" t="s">
        <v>1174</v>
      </c>
      <c r="H75" s="1269"/>
      <c r="I75" s="578">
        <f>F66-I73</f>
        <v>5213229468</v>
      </c>
      <c r="J75" s="24"/>
      <c r="K75" s="24"/>
      <c r="L75" s="24"/>
      <c r="M75" s="24"/>
      <c r="N75" s="24"/>
      <c r="O75" s="24"/>
      <c r="P75" s="89"/>
      <c r="Q75" s="89"/>
      <c r="R75" s="89"/>
      <c r="S75" s="89"/>
      <c r="T75" s="89"/>
      <c r="U75" s="89"/>
      <c r="V75" s="89"/>
      <c r="W75" s="89"/>
      <c r="X75" s="89"/>
      <c r="Y75" s="89"/>
      <c r="Z75" s="89"/>
      <c r="AA75" s="89"/>
      <c r="AB75" s="89"/>
    </row>
    <row r="76" spans="1:28">
      <c r="A76" s="74" t="s">
        <v>44</v>
      </c>
      <c r="B76" s="83">
        <f>'Smmy FGD'!M819</f>
        <v>181013517</v>
      </c>
      <c r="C76" s="86"/>
      <c r="D76" s="83">
        <f>'Smmy FGD'!F819</f>
        <v>-110137</v>
      </c>
      <c r="E76" s="143"/>
      <c r="F76" s="143">
        <f t="shared" ref="F76:F77" si="15">B76-(SUM(D76:E76))</f>
        <v>181123654</v>
      </c>
      <c r="G76" s="351"/>
      <c r="H76" s="351"/>
      <c r="I76" s="351"/>
      <c r="J76" s="351"/>
      <c r="K76" s="51"/>
      <c r="L76" s="51"/>
      <c r="M76" s="51"/>
      <c r="N76" s="51"/>
      <c r="O76" s="51"/>
    </row>
    <row r="77" spans="1:28">
      <c r="A77" s="74" t="s">
        <v>45</v>
      </c>
      <c r="B77" s="86">
        <f>'Smmy FGD'!M832</f>
        <v>72983157</v>
      </c>
      <c r="C77" s="86"/>
      <c r="D77" s="86">
        <f>'Smmy FGD'!F832</f>
        <v>0</v>
      </c>
      <c r="E77" s="82"/>
      <c r="F77" s="73">
        <f t="shared" si="15"/>
        <v>72983157</v>
      </c>
      <c r="G77" s="24"/>
      <c r="H77" s="24"/>
      <c r="I77" s="24"/>
      <c r="J77" s="24"/>
      <c r="K77" s="24"/>
      <c r="L77" s="24"/>
      <c r="M77" s="24"/>
      <c r="N77" s="24"/>
      <c r="O77" s="24"/>
      <c r="P77" s="89"/>
      <c r="Q77" s="89"/>
      <c r="R77" s="89"/>
      <c r="S77" s="89"/>
      <c r="T77" s="89"/>
      <c r="U77" s="89"/>
      <c r="V77" s="89"/>
      <c r="W77" s="89"/>
      <c r="X77" s="89"/>
      <c r="Y77" s="89"/>
      <c r="Z77" s="89"/>
      <c r="AA77" s="89"/>
      <c r="AB77" s="89"/>
    </row>
    <row r="78" spans="1:28" s="92" customFormat="1">
      <c r="A78" s="87" t="s">
        <v>3</v>
      </c>
      <c r="B78" s="88">
        <f>SUM(B76:B77)</f>
        <v>253996674</v>
      </c>
      <c r="C78" s="88"/>
      <c r="D78" s="88">
        <f>SUM(D76:D77)</f>
        <v>-110137</v>
      </c>
      <c r="E78" s="88">
        <f>SUM(E76:E77)</f>
        <v>0</v>
      </c>
      <c r="F78" s="88">
        <f>SUM(F76:F77)</f>
        <v>254106811</v>
      </c>
      <c r="G78" s="570"/>
      <c r="H78" s="570"/>
      <c r="I78" s="570"/>
      <c r="J78" s="570"/>
      <c r="K78" s="296"/>
      <c r="L78" s="296"/>
      <c r="M78" s="296"/>
      <c r="N78" s="296"/>
      <c r="O78" s="296"/>
    </row>
    <row r="79" spans="1:28">
      <c r="D79" s="51"/>
      <c r="E79" s="51"/>
      <c r="F79" s="51"/>
      <c r="G79" s="51"/>
      <c r="H79" s="51"/>
      <c r="I79" s="51"/>
      <c r="J79" s="51"/>
      <c r="K79" s="51"/>
      <c r="L79" s="51"/>
      <c r="M79" s="51"/>
      <c r="N79" s="51"/>
      <c r="O79" s="51"/>
    </row>
    <row r="80" spans="1:28" ht="13.5" thickBot="1">
      <c r="A80" s="100" t="s">
        <v>616</v>
      </c>
      <c r="B80" s="49">
        <f>B51-B66+B73+B78</f>
        <v>1184676448</v>
      </c>
      <c r="C80" s="49"/>
      <c r="D80" s="49">
        <f>D51-D66+D73+D78</f>
        <v>-702086</v>
      </c>
      <c r="E80" s="49">
        <f>E51-E66+E73+E78</f>
        <v>2085304166</v>
      </c>
      <c r="F80" s="49">
        <f>F51-F66+F73+F78</f>
        <v>-899925632</v>
      </c>
      <c r="G80" s="51"/>
      <c r="H80" s="51"/>
      <c r="I80" s="51"/>
      <c r="J80" s="51"/>
      <c r="K80" s="51"/>
      <c r="L80" s="51"/>
      <c r="M80" s="51"/>
      <c r="N80" s="51"/>
      <c r="O80" s="51"/>
    </row>
    <row r="81" spans="1:15" ht="13.5" thickTop="1">
      <c r="B81" s="51"/>
      <c r="D81" s="51"/>
      <c r="E81" s="51"/>
      <c r="F81" s="51"/>
      <c r="G81" s="51"/>
      <c r="H81" s="51"/>
      <c r="I81" s="51"/>
      <c r="J81" s="51"/>
      <c r="K81" s="51"/>
      <c r="L81" s="51"/>
      <c r="M81" s="51"/>
      <c r="N81" s="51"/>
      <c r="O81" s="51"/>
    </row>
    <row r="82" spans="1:15">
      <c r="A82" s="51" t="s">
        <v>1109</v>
      </c>
      <c r="B82" s="51"/>
      <c r="D82" s="143"/>
      <c r="E82" s="51"/>
      <c r="F82" s="51"/>
      <c r="G82" s="51"/>
      <c r="H82" s="51"/>
      <c r="I82" s="51"/>
      <c r="J82" s="51"/>
      <c r="K82" s="51"/>
      <c r="L82" s="51"/>
      <c r="M82" s="51"/>
      <c r="N82" s="51"/>
      <c r="O82" s="51"/>
    </row>
    <row r="83" spans="1:15">
      <c r="A83" s="51"/>
      <c r="B83" s="51"/>
      <c r="D83" s="51"/>
      <c r="E83" s="51"/>
      <c r="F83" s="51"/>
      <c r="G83" s="51"/>
      <c r="H83" s="51"/>
      <c r="I83" s="51"/>
      <c r="J83" s="51"/>
      <c r="K83" s="51"/>
      <c r="L83" s="51"/>
      <c r="M83" s="51"/>
      <c r="N83" s="51"/>
      <c r="O83" s="51"/>
    </row>
    <row r="84" spans="1:15">
      <c r="B84" s="659">
        <f>'Smmy FGD'!M859</f>
        <v>1184676448</v>
      </c>
      <c r="D84" s="659">
        <f>'Smmy FGD'!F859</f>
        <v>-92403</v>
      </c>
      <c r="E84" s="659">
        <f>'Smmy FGD'!M446</f>
        <v>2167265544</v>
      </c>
      <c r="F84" s="74"/>
      <c r="G84" s="51"/>
      <c r="H84" s="51"/>
      <c r="I84" s="51"/>
      <c r="J84" s="51"/>
      <c r="K84" s="51"/>
      <c r="L84" s="51"/>
      <c r="M84" s="51"/>
      <c r="N84" s="51"/>
      <c r="O84" s="51"/>
    </row>
    <row r="85" spans="1:15">
      <c r="B85" s="659"/>
      <c r="D85" s="659">
        <f>'Smmy FGD'!F698</f>
        <v>87445352</v>
      </c>
      <c r="E85" s="659">
        <f>'Smmy FGD'!M461</f>
        <v>6317449622</v>
      </c>
      <c r="F85" s="659"/>
      <c r="G85" s="51"/>
      <c r="H85" s="51"/>
      <c r="I85" s="51"/>
      <c r="J85" s="51"/>
      <c r="K85" s="51"/>
      <c r="L85" s="51"/>
      <c r="M85" s="51"/>
      <c r="N85" s="51"/>
      <c r="O85" s="51"/>
    </row>
    <row r="86" spans="1:15">
      <c r="B86" s="676"/>
      <c r="C86" s="92"/>
      <c r="D86" s="676">
        <f>-'Smmy FGD'!M698</f>
        <v>-88055035</v>
      </c>
      <c r="E86" s="659">
        <f>-'Smmy FGD'!M607</f>
        <v>-323289387</v>
      </c>
      <c r="F86" s="659"/>
      <c r="G86" s="51"/>
      <c r="H86" s="51"/>
      <c r="I86" s="51"/>
      <c r="J86" s="51"/>
      <c r="K86" s="51"/>
      <c r="L86" s="51"/>
      <c r="M86" s="51"/>
      <c r="N86" s="51"/>
      <c r="O86" s="51"/>
    </row>
    <row r="87" spans="1:15">
      <c r="B87" s="676"/>
      <c r="D87" s="676"/>
      <c r="E87" s="676">
        <f>-'Smmy FGD'!M620</f>
        <v>-6076121613</v>
      </c>
      <c r="F87" s="659"/>
      <c r="G87" s="51"/>
      <c r="H87" s="51"/>
      <c r="I87" s="51"/>
      <c r="J87" s="51"/>
      <c r="K87" s="51"/>
      <c r="L87" s="51"/>
      <c r="M87" s="51"/>
      <c r="N87" s="51"/>
      <c r="O87" s="51"/>
    </row>
    <row r="88" spans="1:15">
      <c r="B88" s="675"/>
      <c r="D88" s="675"/>
      <c r="E88" s="675">
        <f>-D38</f>
        <v>0</v>
      </c>
      <c r="F88" s="659"/>
      <c r="G88" s="51"/>
      <c r="H88" s="51"/>
      <c r="I88" s="51"/>
      <c r="J88" s="51"/>
      <c r="K88" s="51"/>
      <c r="L88" s="51"/>
      <c r="M88" s="51"/>
      <c r="N88" s="51"/>
      <c r="O88" s="51"/>
    </row>
    <row r="89" spans="1:15">
      <c r="B89" s="659">
        <f>SUM(B84:B88)</f>
        <v>1184676448</v>
      </c>
      <c r="D89" s="659">
        <f>SUM(D84:D88)</f>
        <v>-702086</v>
      </c>
      <c r="E89" s="659">
        <f>SUM(E84:E88)</f>
        <v>2085304166</v>
      </c>
      <c r="F89" s="659">
        <f>B89-D89-E89</f>
        <v>-899925632</v>
      </c>
      <c r="G89" s="90"/>
      <c r="H89" s="90"/>
      <c r="I89" s="90"/>
      <c r="J89" s="90"/>
    </row>
    <row r="90" spans="1:15" ht="12.75" customHeight="1">
      <c r="B90" s="659"/>
      <c r="D90" s="659"/>
      <c r="E90" s="659"/>
      <c r="F90" s="659"/>
      <c r="G90" s="90"/>
      <c r="H90" s="90"/>
      <c r="I90" s="90"/>
      <c r="J90" s="90"/>
    </row>
    <row r="91" spans="1:15" ht="12.75" customHeight="1">
      <c r="B91" s="675"/>
      <c r="C91" s="93"/>
      <c r="D91" s="675"/>
      <c r="E91" s="675"/>
      <c r="F91" s="675"/>
      <c r="G91" s="90"/>
      <c r="H91" s="90"/>
      <c r="I91" s="90"/>
      <c r="J91" s="90"/>
    </row>
    <row r="92" spans="1:15" ht="12.75" customHeight="1">
      <c r="B92" s="659">
        <f>SUM(B89:B91)</f>
        <v>1184676448</v>
      </c>
      <c r="D92" s="659">
        <f>SUM(D89:D91)</f>
        <v>-702086</v>
      </c>
      <c r="E92" s="659">
        <f>SUM(E89:E91)</f>
        <v>2085304166</v>
      </c>
      <c r="F92" s="659">
        <f>SUM(F89:F91)</f>
        <v>-899925632</v>
      </c>
      <c r="G92" s="90"/>
      <c r="H92" s="90"/>
      <c r="I92" s="90"/>
      <c r="J92" s="90"/>
    </row>
    <row r="93" spans="1:15" ht="12.75" customHeight="1">
      <c r="B93" s="659"/>
      <c r="D93" s="659"/>
      <c r="E93" s="659"/>
      <c r="F93" s="659"/>
      <c r="G93" s="90"/>
      <c r="H93" s="90"/>
      <c r="I93" s="90"/>
      <c r="J93" s="90"/>
    </row>
    <row r="94" spans="1:15" ht="12.75" customHeight="1">
      <c r="B94" s="143">
        <f>B80-B92</f>
        <v>0</v>
      </c>
      <c r="D94" s="143">
        <f>D80-D92</f>
        <v>0</v>
      </c>
      <c r="E94" s="143">
        <f>E80-E92</f>
        <v>0</v>
      </c>
      <c r="F94" s="143">
        <f>F80-F92</f>
        <v>0</v>
      </c>
      <c r="G94" s="90"/>
      <c r="H94" s="90"/>
      <c r="I94" s="90"/>
      <c r="J94" s="90"/>
    </row>
    <row r="95" spans="1:15">
      <c r="D95" s="51"/>
      <c r="E95" s="51"/>
      <c r="F95" s="564" t="str">
        <f>IF(F94=0,"Balanced","Error")</f>
        <v>Balanced</v>
      </c>
      <c r="G95" s="90"/>
      <c r="H95" s="90"/>
      <c r="I95" s="90"/>
      <c r="J95" s="90"/>
    </row>
    <row r="96" spans="1:15" s="85" customFormat="1">
      <c r="C96" s="74"/>
      <c r="D96" s="74"/>
      <c r="E96" s="90"/>
      <c r="F96" s="90"/>
      <c r="G96" s="90"/>
      <c r="H96" s="90"/>
      <c r="I96" s="90"/>
      <c r="J96" s="90"/>
      <c r="K96" s="74"/>
      <c r="L96" s="74"/>
      <c r="M96" s="74"/>
      <c r="N96" s="74"/>
    </row>
    <row r="97" spans="1:14" s="85" customFormat="1">
      <c r="D97" s="74"/>
      <c r="E97" s="90"/>
      <c r="F97" s="90"/>
      <c r="G97" s="90"/>
      <c r="H97" s="90"/>
      <c r="I97" s="90"/>
      <c r="J97" s="90"/>
      <c r="K97" s="74"/>
      <c r="L97" s="74"/>
      <c r="M97" s="74"/>
      <c r="N97" s="74"/>
    </row>
    <row r="98" spans="1:14">
      <c r="C98" s="85"/>
      <c r="E98" s="90"/>
      <c r="F98" s="90"/>
      <c r="G98" s="90"/>
      <c r="H98" s="90"/>
      <c r="I98" s="90"/>
      <c r="J98" s="90"/>
    </row>
    <row r="99" spans="1:14" s="85" customFormat="1">
      <c r="C99" s="74"/>
      <c r="D99" s="74"/>
      <c r="E99" s="90"/>
      <c r="F99" s="90"/>
      <c r="G99" s="90"/>
      <c r="H99" s="90"/>
      <c r="I99" s="90"/>
      <c r="J99" s="90"/>
      <c r="K99" s="74"/>
      <c r="L99" s="74"/>
      <c r="M99" s="74"/>
      <c r="N99" s="74"/>
    </row>
    <row r="100" spans="1:14">
      <c r="C100" s="85"/>
      <c r="E100" s="90"/>
      <c r="F100" s="90"/>
      <c r="G100" s="90"/>
      <c r="H100" s="90"/>
      <c r="I100" s="90"/>
      <c r="J100" s="90"/>
    </row>
    <row r="101" spans="1:14">
      <c r="E101" s="90"/>
      <c r="F101" s="90"/>
      <c r="G101" s="90"/>
      <c r="H101" s="90"/>
      <c r="I101" s="90"/>
      <c r="J101" s="90"/>
    </row>
    <row r="102" spans="1:14">
      <c r="E102" s="90"/>
      <c r="F102" s="90"/>
      <c r="G102" s="90"/>
      <c r="H102" s="90"/>
      <c r="I102" s="90"/>
      <c r="J102" s="90"/>
      <c r="K102" s="85"/>
    </row>
    <row r="103" spans="1:14">
      <c r="D103" s="85"/>
      <c r="E103" s="90"/>
      <c r="F103" s="90"/>
      <c r="G103" s="90"/>
      <c r="H103" s="90"/>
      <c r="I103" s="90"/>
      <c r="J103" s="90"/>
      <c r="K103" s="85"/>
      <c r="L103" s="85"/>
      <c r="M103" s="85"/>
      <c r="N103" s="85"/>
    </row>
    <row r="104" spans="1:14">
      <c r="D104" s="85"/>
      <c r="E104" s="90"/>
      <c r="F104" s="90"/>
      <c r="G104" s="90"/>
      <c r="H104" s="90"/>
      <c r="I104" s="90"/>
      <c r="J104" s="90"/>
      <c r="L104" s="85"/>
      <c r="M104" s="85"/>
      <c r="N104" s="85"/>
    </row>
    <row r="105" spans="1:14">
      <c r="E105" s="90"/>
      <c r="F105" s="90"/>
      <c r="G105" s="90"/>
      <c r="H105" s="90"/>
      <c r="I105" s="90"/>
      <c r="J105" s="90"/>
      <c r="K105" s="85"/>
    </row>
    <row r="106" spans="1:14">
      <c r="D106" s="85"/>
      <c r="E106" s="90"/>
      <c r="F106" s="90"/>
      <c r="G106" s="90"/>
      <c r="H106" s="90"/>
      <c r="I106" s="90"/>
      <c r="J106" s="90"/>
      <c r="L106" s="85"/>
      <c r="M106" s="85"/>
      <c r="N106" s="85"/>
    </row>
    <row r="107" spans="1:14">
      <c r="E107" s="90"/>
      <c r="F107" s="90"/>
      <c r="G107" s="90"/>
      <c r="H107" s="90"/>
      <c r="I107" s="90"/>
      <c r="J107" s="90"/>
    </row>
    <row r="108" spans="1:14">
      <c r="E108" s="90"/>
      <c r="F108" s="90"/>
      <c r="G108" s="90"/>
      <c r="H108" s="90"/>
      <c r="I108" s="90"/>
      <c r="J108" s="90"/>
    </row>
    <row r="109" spans="1:14" ht="15.75">
      <c r="A109" s="824" t="str">
        <f>A2</f>
        <v>For the Year Ended August 31, 2018</v>
      </c>
      <c r="B109" s="825" t="s">
        <v>1218</v>
      </c>
      <c r="E109" s="90"/>
      <c r="F109" s="90"/>
      <c r="G109" s="90"/>
      <c r="H109" s="90"/>
      <c r="I109" s="90"/>
      <c r="J109" s="90"/>
    </row>
    <row r="110" spans="1:14" ht="15.75">
      <c r="A110" s="824" t="s">
        <v>1219</v>
      </c>
      <c r="B110" s="826" t="s">
        <v>1224</v>
      </c>
      <c r="E110" s="90"/>
      <c r="F110" s="90"/>
      <c r="G110" s="90"/>
      <c r="H110" s="90"/>
      <c r="I110" s="90"/>
      <c r="J110" s="90"/>
    </row>
    <row r="111" spans="1:14">
      <c r="A111" s="74" t="s">
        <v>1</v>
      </c>
      <c r="B111" s="827">
        <f>B22</f>
        <v>1745264029</v>
      </c>
      <c r="E111" s="90"/>
      <c r="F111" s="90"/>
      <c r="G111" s="90"/>
      <c r="H111" s="90"/>
      <c r="I111" s="90"/>
      <c r="J111" s="90"/>
    </row>
    <row r="112" spans="1:14">
      <c r="A112" s="74" t="s">
        <v>2</v>
      </c>
      <c r="B112" s="827">
        <f>B23</f>
        <v>180504283</v>
      </c>
      <c r="E112" s="90"/>
      <c r="F112" s="90"/>
      <c r="G112" s="90"/>
      <c r="H112" s="90"/>
      <c r="I112" s="90"/>
      <c r="J112" s="90"/>
    </row>
    <row r="113" spans="1:10">
      <c r="A113" s="74" t="s">
        <v>105</v>
      </c>
      <c r="B113" s="827">
        <f>B24</f>
        <v>0</v>
      </c>
      <c r="E113" s="90"/>
      <c r="F113" s="90"/>
      <c r="G113" s="90"/>
      <c r="H113" s="90"/>
      <c r="I113" s="90"/>
      <c r="J113" s="90"/>
    </row>
    <row r="114" spans="1:10">
      <c r="A114" s="74" t="s">
        <v>1163</v>
      </c>
      <c r="B114" s="827">
        <f>B25+B26</f>
        <v>90274924</v>
      </c>
      <c r="E114" s="90"/>
      <c r="F114" s="90"/>
      <c r="G114" s="90"/>
      <c r="H114" s="90"/>
      <c r="I114" s="90"/>
      <c r="J114" s="90"/>
    </row>
    <row r="115" spans="1:10">
      <c r="A115" s="74" t="s">
        <v>87</v>
      </c>
      <c r="B115" s="827">
        <f>B32</f>
        <v>306005779</v>
      </c>
      <c r="E115" s="90"/>
      <c r="F115" s="90"/>
      <c r="G115" s="90"/>
      <c r="H115" s="90"/>
      <c r="I115" s="90"/>
      <c r="J115" s="90"/>
    </row>
    <row r="116" spans="1:10">
      <c r="A116" s="74" t="s">
        <v>1220</v>
      </c>
      <c r="B116" s="827">
        <f>B35</f>
        <v>892704561</v>
      </c>
      <c r="E116" s="90"/>
      <c r="F116" s="90"/>
      <c r="G116" s="90"/>
      <c r="H116" s="90"/>
      <c r="I116" s="90"/>
      <c r="J116" s="90"/>
    </row>
    <row r="117" spans="1:10">
      <c r="A117" s="74" t="s">
        <v>57</v>
      </c>
      <c r="B117" s="827">
        <f>B38</f>
        <v>2167265544</v>
      </c>
      <c r="E117" s="90"/>
      <c r="F117" s="90"/>
      <c r="G117" s="90"/>
      <c r="H117" s="90"/>
      <c r="I117" s="90"/>
      <c r="J117" s="90"/>
    </row>
    <row r="118" spans="1:10">
      <c r="A118" s="74" t="s">
        <v>84</v>
      </c>
      <c r="B118" s="827">
        <f>B41</f>
        <v>6317449622</v>
      </c>
      <c r="E118" s="90"/>
      <c r="F118" s="90"/>
      <c r="G118" s="90"/>
      <c r="H118" s="90"/>
      <c r="I118" s="90"/>
      <c r="J118" s="90"/>
    </row>
    <row r="119" spans="1:10">
      <c r="A119" s="74" t="s">
        <v>1221</v>
      </c>
      <c r="B119" s="827">
        <f>B50-B120</f>
        <v>3226082976</v>
      </c>
      <c r="E119" s="90"/>
      <c r="F119" s="90"/>
      <c r="G119" s="90"/>
      <c r="H119" s="90"/>
      <c r="I119" s="90"/>
      <c r="J119" s="90"/>
    </row>
    <row r="120" spans="1:10">
      <c r="A120" s="74" t="s">
        <v>1222</v>
      </c>
      <c r="B120" s="828">
        <f>B48</f>
        <v>123232260</v>
      </c>
      <c r="E120" s="90"/>
      <c r="F120" s="90"/>
      <c r="G120" s="90"/>
      <c r="H120" s="90"/>
      <c r="I120" s="90"/>
      <c r="J120" s="90"/>
    </row>
    <row r="121" spans="1:10">
      <c r="A121" s="74" t="s">
        <v>1223</v>
      </c>
      <c r="B121" s="83">
        <f>SUM(B111:B120)</f>
        <v>15048783978</v>
      </c>
      <c r="E121" s="90"/>
      <c r="F121" s="90"/>
      <c r="G121" s="90"/>
      <c r="H121" s="90"/>
      <c r="I121" s="90"/>
      <c r="J121" s="90"/>
    </row>
    <row r="122" spans="1:10">
      <c r="E122" s="90"/>
      <c r="F122" s="90"/>
      <c r="G122" s="90"/>
      <c r="H122" s="90"/>
      <c r="I122" s="90"/>
      <c r="J122" s="90"/>
    </row>
    <row r="123" spans="1:10">
      <c r="E123" s="90"/>
      <c r="F123" s="90"/>
      <c r="G123" s="90"/>
      <c r="H123" s="90"/>
      <c r="I123" s="90"/>
      <c r="J123" s="90"/>
    </row>
    <row r="124" spans="1:10">
      <c r="E124" s="90"/>
      <c r="F124" s="90"/>
      <c r="G124" s="90"/>
      <c r="H124" s="90"/>
      <c r="I124" s="90"/>
      <c r="J124" s="90"/>
    </row>
    <row r="125" spans="1:10">
      <c r="B125" s="83">
        <f>B51</f>
        <v>15048783978</v>
      </c>
      <c r="E125" s="90"/>
      <c r="F125" s="90"/>
      <c r="G125" s="90"/>
      <c r="H125" s="90"/>
      <c r="I125" s="90"/>
      <c r="J125" s="90"/>
    </row>
    <row r="126" spans="1:10">
      <c r="E126" s="90"/>
      <c r="F126" s="90"/>
      <c r="G126" s="90"/>
      <c r="H126" s="90"/>
      <c r="I126" s="90"/>
      <c r="J126" s="90"/>
    </row>
    <row r="127" spans="1:10">
      <c r="E127" s="90"/>
      <c r="F127" s="90"/>
      <c r="G127" s="90"/>
      <c r="H127" s="90"/>
      <c r="I127" s="90"/>
      <c r="J127" s="90"/>
    </row>
    <row r="128" spans="1:10">
      <c r="B128" s="83">
        <f>B121-B125</f>
        <v>0</v>
      </c>
      <c r="F128" s="90"/>
      <c r="G128" s="90"/>
      <c r="H128" s="90"/>
      <c r="I128" s="90"/>
      <c r="J128" s="90"/>
    </row>
    <row r="129" spans="6:10">
      <c r="F129" s="90"/>
      <c r="G129" s="90"/>
      <c r="H129" s="90"/>
      <c r="I129" s="90"/>
      <c r="J129" s="90"/>
    </row>
    <row r="130" spans="6:10">
      <c r="F130" s="90"/>
      <c r="G130" s="90"/>
      <c r="H130" s="90"/>
      <c r="I130" s="90"/>
      <c r="J130" s="90"/>
    </row>
    <row r="131" spans="6:10">
      <c r="F131" s="90"/>
      <c r="G131" s="90"/>
      <c r="H131" s="90"/>
      <c r="I131" s="90"/>
      <c r="J131" s="90"/>
    </row>
    <row r="132" spans="6:10">
      <c r="F132" s="90"/>
      <c r="G132" s="90"/>
      <c r="H132" s="90"/>
      <c r="I132" s="90"/>
      <c r="J132" s="90"/>
    </row>
    <row r="133" spans="6:10">
      <c r="F133" s="90"/>
      <c r="G133" s="90"/>
      <c r="H133" s="90"/>
      <c r="I133" s="90"/>
      <c r="J133" s="90"/>
    </row>
    <row r="134" spans="6:10">
      <c r="F134" s="90"/>
      <c r="G134" s="90"/>
      <c r="H134" s="90"/>
      <c r="I134" s="90"/>
      <c r="J134" s="90"/>
    </row>
    <row r="135" spans="6:10">
      <c r="F135" s="90"/>
      <c r="G135" s="90"/>
      <c r="H135" s="90"/>
      <c r="I135" s="90"/>
      <c r="J135" s="90"/>
    </row>
    <row r="136" spans="6:10">
      <c r="F136" s="90"/>
      <c r="G136" s="90"/>
      <c r="H136" s="90"/>
      <c r="I136" s="90"/>
      <c r="J136" s="90"/>
    </row>
    <row r="137" spans="6:10">
      <c r="F137" s="90"/>
      <c r="G137" s="90"/>
      <c r="H137" s="90"/>
      <c r="I137" s="90"/>
      <c r="J137" s="90"/>
    </row>
    <row r="138" spans="6:10">
      <c r="F138" s="90"/>
      <c r="G138" s="90"/>
      <c r="H138" s="90"/>
      <c r="I138" s="90"/>
      <c r="J138" s="90"/>
    </row>
    <row r="139" spans="6:10">
      <c r="F139" s="90"/>
      <c r="G139" s="90"/>
      <c r="H139" s="90"/>
      <c r="I139" s="90"/>
      <c r="J139" s="90"/>
    </row>
    <row r="140" spans="6:10">
      <c r="F140" s="90"/>
      <c r="G140" s="90"/>
      <c r="H140" s="90"/>
      <c r="I140" s="90"/>
      <c r="J140" s="90"/>
    </row>
    <row r="141" spans="6:10">
      <c r="F141" s="90"/>
      <c r="G141" s="90"/>
      <c r="H141" s="90"/>
      <c r="I141" s="90"/>
      <c r="J141" s="90"/>
    </row>
    <row r="142" spans="6:10">
      <c r="F142" s="90"/>
      <c r="G142" s="90"/>
      <c r="H142" s="90"/>
      <c r="I142" s="90"/>
      <c r="J142" s="90"/>
    </row>
    <row r="143" spans="6:10">
      <c r="F143" s="90"/>
      <c r="G143" s="90"/>
      <c r="H143" s="90"/>
      <c r="I143" s="90"/>
      <c r="J143" s="90"/>
    </row>
    <row r="144" spans="6:10">
      <c r="F144" s="90"/>
      <c r="G144" s="90"/>
      <c r="H144" s="90"/>
      <c r="I144" s="90"/>
      <c r="J144" s="90"/>
    </row>
    <row r="145" spans="6:10">
      <c r="F145" s="90"/>
      <c r="G145" s="90"/>
      <c r="H145" s="90"/>
      <c r="I145" s="90"/>
      <c r="J145" s="90"/>
    </row>
    <row r="146" spans="6:10">
      <c r="F146" s="90"/>
      <c r="G146" s="90"/>
      <c r="H146" s="90"/>
      <c r="I146" s="90"/>
      <c r="J146" s="90"/>
    </row>
    <row r="147" spans="6:10">
      <c r="F147" s="90"/>
      <c r="G147" s="90"/>
      <c r="H147" s="90"/>
      <c r="I147" s="90"/>
      <c r="J147" s="90"/>
    </row>
    <row r="148" spans="6:10">
      <c r="F148" s="90"/>
      <c r="G148" s="90"/>
      <c r="H148" s="90"/>
      <c r="I148" s="90"/>
      <c r="J148" s="90"/>
    </row>
    <row r="149" spans="6:10">
      <c r="F149" s="90"/>
      <c r="G149" s="90"/>
      <c r="H149" s="90"/>
      <c r="I149" s="90"/>
      <c r="J149" s="90"/>
    </row>
    <row r="150" spans="6:10">
      <c r="F150" s="90"/>
      <c r="G150" s="90"/>
      <c r="H150" s="90"/>
      <c r="I150" s="90"/>
      <c r="J150" s="90"/>
    </row>
    <row r="151" spans="6:10">
      <c r="F151" s="90"/>
      <c r="G151" s="90"/>
      <c r="H151" s="90"/>
      <c r="I151" s="90"/>
      <c r="J151" s="90"/>
    </row>
    <row r="152" spans="6:10">
      <c r="F152" s="90"/>
      <c r="G152" s="90"/>
      <c r="H152" s="90"/>
      <c r="I152" s="90"/>
      <c r="J152" s="90"/>
    </row>
    <row r="153" spans="6:10">
      <c r="F153" s="90"/>
      <c r="G153" s="90"/>
      <c r="H153" s="90"/>
      <c r="I153" s="90"/>
      <c r="J153" s="90"/>
    </row>
    <row r="154" spans="6:10">
      <c r="F154" s="90"/>
      <c r="G154" s="90"/>
      <c r="H154" s="90"/>
      <c r="I154" s="90"/>
      <c r="J154" s="90"/>
    </row>
    <row r="155" spans="6:10">
      <c r="F155" s="90"/>
      <c r="G155" s="90"/>
      <c r="H155" s="90"/>
      <c r="I155" s="90"/>
      <c r="J155" s="90"/>
    </row>
    <row r="156" spans="6:10">
      <c r="F156" s="90"/>
      <c r="G156" s="90"/>
      <c r="H156" s="90"/>
      <c r="I156" s="90"/>
      <c r="J156" s="90"/>
    </row>
    <row r="157" spans="6:10">
      <c r="F157" s="90"/>
      <c r="G157" s="90"/>
      <c r="H157" s="90"/>
      <c r="I157" s="90"/>
      <c r="J157" s="90"/>
    </row>
    <row r="158" spans="6:10">
      <c r="F158" s="90"/>
      <c r="G158" s="90"/>
      <c r="H158" s="90"/>
      <c r="I158" s="90"/>
      <c r="J158" s="90"/>
    </row>
    <row r="159" spans="6:10">
      <c r="F159" s="90"/>
      <c r="G159" s="90"/>
      <c r="H159" s="90"/>
      <c r="I159" s="90"/>
      <c r="J159" s="90"/>
    </row>
    <row r="160" spans="6:10">
      <c r="F160" s="90"/>
      <c r="G160" s="90"/>
      <c r="H160" s="90"/>
      <c r="I160" s="90"/>
      <c r="J160" s="90"/>
    </row>
    <row r="161" spans="6:10">
      <c r="F161" s="90"/>
      <c r="G161" s="90"/>
      <c r="H161" s="90"/>
      <c r="I161" s="90"/>
      <c r="J161" s="90"/>
    </row>
    <row r="162" spans="6:10">
      <c r="F162" s="90"/>
      <c r="G162" s="90"/>
      <c r="H162" s="90"/>
      <c r="I162" s="90"/>
      <c r="J162" s="90"/>
    </row>
    <row r="163" spans="6:10">
      <c r="F163" s="90"/>
      <c r="G163" s="90"/>
      <c r="H163" s="90"/>
      <c r="I163" s="90"/>
      <c r="J163" s="90"/>
    </row>
    <row r="164" spans="6:10">
      <c r="F164" s="90"/>
      <c r="G164" s="90"/>
      <c r="H164" s="90"/>
      <c r="I164" s="90"/>
      <c r="J164" s="90"/>
    </row>
    <row r="165" spans="6:10">
      <c r="F165" s="90"/>
      <c r="G165" s="90"/>
      <c r="H165" s="90"/>
      <c r="I165" s="90"/>
      <c r="J165" s="90"/>
    </row>
    <row r="166" spans="6:10">
      <c r="F166" s="90"/>
      <c r="G166" s="90"/>
      <c r="H166" s="90"/>
      <c r="I166" s="90"/>
      <c r="J166" s="90"/>
    </row>
    <row r="167" spans="6:10">
      <c r="F167" s="90"/>
      <c r="G167" s="90"/>
      <c r="H167" s="90"/>
      <c r="I167" s="90"/>
      <c r="J167" s="90"/>
    </row>
    <row r="168" spans="6:10">
      <c r="F168" s="90"/>
      <c r="G168" s="90"/>
      <c r="H168" s="90"/>
      <c r="I168" s="90"/>
      <c r="J168" s="90"/>
    </row>
    <row r="169" spans="6:10">
      <c r="F169" s="90"/>
      <c r="G169" s="90"/>
      <c r="H169" s="90"/>
      <c r="I169" s="90"/>
      <c r="J169" s="90"/>
    </row>
    <row r="170" spans="6:10">
      <c r="F170" s="90"/>
      <c r="G170" s="90"/>
      <c r="H170" s="90"/>
      <c r="I170" s="90"/>
      <c r="J170" s="90"/>
    </row>
    <row r="171" spans="6:10">
      <c r="F171" s="90"/>
      <c r="G171" s="90"/>
      <c r="H171" s="90"/>
      <c r="I171" s="90"/>
      <c r="J171" s="90"/>
    </row>
    <row r="172" spans="6:10">
      <c r="F172" s="90"/>
      <c r="G172" s="90"/>
      <c r="H172" s="90"/>
      <c r="I172" s="90"/>
      <c r="J172" s="90"/>
    </row>
    <row r="173" spans="6:10">
      <c r="F173" s="90"/>
      <c r="G173" s="90"/>
      <c r="H173" s="90"/>
      <c r="I173" s="90"/>
      <c r="J173" s="90"/>
    </row>
    <row r="174" spans="6:10">
      <c r="F174" s="90"/>
      <c r="G174" s="90"/>
      <c r="H174" s="90"/>
      <c r="I174" s="90"/>
      <c r="J174" s="90"/>
    </row>
    <row r="175" spans="6:10">
      <c r="F175" s="90"/>
      <c r="G175" s="90"/>
      <c r="H175" s="90"/>
      <c r="I175" s="90"/>
      <c r="J175" s="90"/>
    </row>
    <row r="176" spans="6:10">
      <c r="F176" s="90"/>
      <c r="G176" s="90"/>
      <c r="H176" s="90"/>
      <c r="I176" s="90"/>
      <c r="J176" s="90"/>
    </row>
    <row r="177" spans="6:10">
      <c r="F177" s="90"/>
      <c r="G177" s="90"/>
      <c r="H177" s="90"/>
      <c r="I177" s="90"/>
      <c r="J177" s="90"/>
    </row>
    <row r="178" spans="6:10">
      <c r="F178" s="90"/>
      <c r="G178" s="90"/>
      <c r="H178" s="90"/>
      <c r="I178" s="90"/>
      <c r="J178" s="90"/>
    </row>
    <row r="179" spans="6:10">
      <c r="F179" s="90"/>
      <c r="G179" s="90"/>
      <c r="H179" s="90"/>
      <c r="I179" s="90"/>
      <c r="J179" s="90"/>
    </row>
    <row r="180" spans="6:10">
      <c r="F180" s="90"/>
      <c r="G180" s="90"/>
      <c r="H180" s="90"/>
      <c r="I180" s="90"/>
      <c r="J180" s="90"/>
    </row>
    <row r="181" spans="6:10">
      <c r="F181" s="90"/>
      <c r="G181" s="90"/>
      <c r="H181" s="90"/>
      <c r="I181" s="90"/>
      <c r="J181" s="90"/>
    </row>
    <row r="182" spans="6:10">
      <c r="F182" s="90"/>
      <c r="G182" s="90"/>
      <c r="H182" s="90"/>
      <c r="I182" s="90"/>
      <c r="J182" s="90"/>
    </row>
    <row r="183" spans="6:10">
      <c r="F183" s="90"/>
      <c r="G183" s="90"/>
      <c r="H183" s="90"/>
      <c r="I183" s="90"/>
      <c r="J183" s="90"/>
    </row>
    <row r="184" spans="6:10">
      <c r="F184" s="90"/>
      <c r="G184" s="90"/>
      <c r="H184" s="90"/>
      <c r="I184" s="90"/>
      <c r="J184" s="90"/>
    </row>
    <row r="185" spans="6:10">
      <c r="F185" s="90"/>
      <c r="G185" s="90"/>
      <c r="H185" s="90"/>
      <c r="I185" s="90"/>
      <c r="J185" s="90"/>
    </row>
    <row r="186" spans="6:10">
      <c r="F186" s="90"/>
      <c r="G186" s="90"/>
      <c r="H186" s="90"/>
      <c r="I186" s="90"/>
      <c r="J186" s="90"/>
    </row>
    <row r="187" spans="6:10">
      <c r="F187" s="90"/>
      <c r="G187" s="90"/>
      <c r="H187" s="90"/>
      <c r="I187" s="90"/>
      <c r="J187" s="90"/>
    </row>
    <row r="188" spans="6:10">
      <c r="F188" s="90"/>
      <c r="G188" s="90"/>
      <c r="H188" s="90"/>
      <c r="I188" s="90"/>
      <c r="J188" s="90"/>
    </row>
    <row r="189" spans="6:10">
      <c r="F189" s="90"/>
      <c r="G189" s="90"/>
      <c r="H189" s="90"/>
      <c r="I189" s="90"/>
      <c r="J189" s="90"/>
    </row>
    <row r="190" spans="6:10">
      <c r="F190" s="90"/>
      <c r="G190" s="90"/>
      <c r="H190" s="90"/>
      <c r="I190" s="90"/>
      <c r="J190" s="90"/>
    </row>
    <row r="191" spans="6:10">
      <c r="F191" s="90"/>
      <c r="G191" s="90"/>
      <c r="H191" s="90"/>
      <c r="I191" s="90"/>
      <c r="J191" s="90"/>
    </row>
    <row r="192" spans="6:10">
      <c r="F192" s="90"/>
      <c r="G192" s="90"/>
      <c r="H192" s="90"/>
      <c r="I192" s="90"/>
      <c r="J192" s="90"/>
    </row>
    <row r="193" spans="6:10">
      <c r="F193" s="90"/>
      <c r="G193" s="90"/>
      <c r="H193" s="90"/>
      <c r="I193" s="90"/>
      <c r="J193" s="90"/>
    </row>
    <row r="194" spans="6:10">
      <c r="F194" s="90"/>
      <c r="G194" s="90"/>
      <c r="H194" s="90"/>
      <c r="I194" s="90"/>
      <c r="J194" s="90"/>
    </row>
    <row r="195" spans="6:10">
      <c r="F195" s="90"/>
      <c r="G195" s="90"/>
      <c r="H195" s="90"/>
      <c r="I195" s="90"/>
      <c r="J195" s="90"/>
    </row>
    <row r="196" spans="6:10">
      <c r="F196" s="90"/>
      <c r="G196" s="90"/>
      <c r="H196" s="90"/>
      <c r="I196" s="90"/>
      <c r="J196" s="90"/>
    </row>
    <row r="197" spans="6:10">
      <c r="F197" s="90"/>
      <c r="G197" s="90"/>
      <c r="H197" s="90"/>
      <c r="I197" s="90"/>
      <c r="J197" s="90"/>
    </row>
    <row r="198" spans="6:10">
      <c r="F198" s="90"/>
      <c r="G198" s="90"/>
      <c r="H198" s="90"/>
      <c r="I198" s="90"/>
      <c r="J198" s="90"/>
    </row>
    <row r="199" spans="6:10">
      <c r="F199" s="90"/>
      <c r="G199" s="90"/>
      <c r="H199" s="90"/>
      <c r="I199" s="90"/>
      <c r="J199" s="90"/>
    </row>
    <row r="200" spans="6:10">
      <c r="F200" s="90"/>
      <c r="G200" s="90"/>
      <c r="H200" s="90"/>
      <c r="I200" s="90"/>
      <c r="J200" s="90"/>
    </row>
    <row r="201" spans="6:10">
      <c r="F201" s="90"/>
      <c r="G201" s="90"/>
      <c r="H201" s="90"/>
      <c r="I201" s="90"/>
      <c r="J201" s="90"/>
    </row>
    <row r="202" spans="6:10">
      <c r="F202" s="90"/>
      <c r="G202" s="90"/>
      <c r="H202" s="90"/>
      <c r="I202" s="90"/>
      <c r="J202" s="90"/>
    </row>
    <row r="203" spans="6:10">
      <c r="F203" s="90"/>
      <c r="G203" s="90"/>
      <c r="H203" s="90"/>
      <c r="I203" s="90"/>
      <c r="J203" s="90"/>
    </row>
    <row r="204" spans="6:10">
      <c r="F204" s="90"/>
      <c r="G204" s="90"/>
      <c r="H204" s="90"/>
      <c r="I204" s="90"/>
      <c r="J204" s="90"/>
    </row>
    <row r="205" spans="6:10">
      <c r="F205" s="90"/>
      <c r="G205" s="90"/>
      <c r="H205" s="90"/>
      <c r="I205" s="90"/>
      <c r="J205" s="90"/>
    </row>
    <row r="206" spans="6:10">
      <c r="F206" s="90"/>
      <c r="G206" s="90"/>
      <c r="H206" s="90"/>
      <c r="I206" s="90"/>
      <c r="J206" s="90"/>
    </row>
    <row r="207" spans="6:10">
      <c r="F207" s="90"/>
      <c r="G207" s="90"/>
      <c r="H207" s="90"/>
      <c r="I207" s="90"/>
      <c r="J207" s="90"/>
    </row>
    <row r="208" spans="6:10">
      <c r="F208" s="90"/>
      <c r="G208" s="90"/>
      <c r="H208" s="90"/>
      <c r="I208" s="90"/>
      <c r="J208" s="90"/>
    </row>
    <row r="209" spans="6:10">
      <c r="F209" s="90"/>
      <c r="G209" s="90"/>
      <c r="H209" s="90"/>
      <c r="I209" s="90"/>
      <c r="J209" s="90"/>
    </row>
    <row r="210" spans="6:10">
      <c r="F210" s="90"/>
      <c r="G210" s="90"/>
      <c r="H210" s="90"/>
      <c r="I210" s="90"/>
      <c r="J210" s="90"/>
    </row>
    <row r="211" spans="6:10">
      <c r="F211" s="90"/>
      <c r="G211" s="90"/>
      <c r="H211" s="90"/>
      <c r="I211" s="90"/>
      <c r="J211" s="90"/>
    </row>
    <row r="212" spans="6:10">
      <c r="F212" s="90"/>
      <c r="G212" s="90"/>
      <c r="H212" s="90"/>
      <c r="I212" s="90"/>
      <c r="J212" s="90"/>
    </row>
    <row r="213" spans="6:10">
      <c r="F213" s="90"/>
      <c r="G213" s="90"/>
      <c r="H213" s="90"/>
      <c r="I213" s="90"/>
      <c r="J213" s="90"/>
    </row>
    <row r="214" spans="6:10">
      <c r="F214" s="90"/>
      <c r="G214" s="90"/>
      <c r="H214" s="90"/>
      <c r="I214" s="90"/>
      <c r="J214" s="90"/>
    </row>
    <row r="215" spans="6:10">
      <c r="F215" s="90"/>
      <c r="G215" s="90"/>
      <c r="H215" s="90"/>
      <c r="I215" s="90"/>
      <c r="J215" s="90"/>
    </row>
    <row r="216" spans="6:10">
      <c r="F216" s="90"/>
      <c r="G216" s="90"/>
      <c r="H216" s="90"/>
      <c r="I216" s="90"/>
      <c r="J216" s="90"/>
    </row>
    <row r="217" spans="6:10">
      <c r="F217" s="90"/>
      <c r="G217" s="90"/>
      <c r="H217" s="90"/>
      <c r="I217" s="90"/>
      <c r="J217" s="90"/>
    </row>
    <row r="218" spans="6:10">
      <c r="F218" s="90"/>
      <c r="G218" s="90"/>
      <c r="H218" s="90"/>
      <c r="I218" s="90"/>
      <c r="J218" s="90"/>
    </row>
    <row r="219" spans="6:10">
      <c r="F219" s="90"/>
      <c r="G219" s="90"/>
      <c r="H219" s="90"/>
      <c r="I219" s="90"/>
      <c r="J219" s="90"/>
    </row>
    <row r="220" spans="6:10">
      <c r="F220" s="90"/>
      <c r="G220" s="90"/>
      <c r="H220" s="90"/>
      <c r="I220" s="90"/>
      <c r="J220" s="90"/>
    </row>
    <row r="221" spans="6:10">
      <c r="F221" s="90"/>
      <c r="G221" s="90"/>
      <c r="H221" s="90"/>
      <c r="I221" s="90"/>
      <c r="J221" s="90"/>
    </row>
    <row r="222" spans="6:10">
      <c r="F222" s="90"/>
      <c r="G222" s="90"/>
      <c r="H222" s="90"/>
      <c r="I222" s="90"/>
      <c r="J222" s="90"/>
    </row>
  </sheetData>
  <dataConsolidate link="1">
    <dataRefs count="9">
      <dataRef ref="C6" sheet="HSH Sum" r:id="rId1"/>
      <dataRef ref="C6" sheet="HSSA Sum" r:id="rId2"/>
      <dataRef ref="C6" sheet="MBG Sum" r:id="rId3"/>
      <dataRef ref="C6" sheet="MDA Sum" r:id="rId4"/>
      <dataRef ref="C6" sheet="SWM Sum" r:id="rId5"/>
      <dataRef ref="C6" sheet="TAMHSC Sum" r:id="rId6"/>
      <dataRef ref="C6" sheet="THC Sum" r:id="rId7"/>
      <dataRef ref="C6" sheet="TTUHSC Sum" r:id="rId8"/>
      <dataRef ref="C6" sheet="UNTHSC Sum" r:id="rId9"/>
    </dataRefs>
  </dataConsolidate>
  <mergeCells count="17">
    <mergeCell ref="G75:H75"/>
    <mergeCell ref="D4:D5"/>
    <mergeCell ref="J1:O1"/>
    <mergeCell ref="E4:E5"/>
    <mergeCell ref="F1:I1"/>
    <mergeCell ref="G66:H69"/>
    <mergeCell ref="J67:J68"/>
    <mergeCell ref="G50:H50"/>
    <mergeCell ref="G51:H51"/>
    <mergeCell ref="K47:O47"/>
    <mergeCell ref="K48:O48"/>
    <mergeCell ref="M49:M52"/>
    <mergeCell ref="L49:L52"/>
    <mergeCell ref="K57:O57"/>
    <mergeCell ref="K49:K52"/>
    <mergeCell ref="N49:N52"/>
    <mergeCell ref="O49:O52"/>
  </mergeCells>
  <hyperlinks>
    <hyperlink ref="E1" location="Index!A1" display="Return to Index"/>
  </hyperlinks>
  <printOptions horizontalCentered="1"/>
  <pageMargins left="0.25" right="0.25" top="0.5" bottom="0.3" header="0.3" footer="0.25"/>
  <pageSetup scale="79" orientation="portrait" r:id="rId10"/>
  <headerFooter alignWithMargins="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workbookViewId="0">
      <pane ySplit="7" topLeftCell="A11" activePane="bottomLeft" state="frozen"/>
      <selection activeCell="C36" sqref="C36"/>
      <selection pane="bottomLeft" activeCell="D1" sqref="D1"/>
    </sheetView>
  </sheetViews>
  <sheetFormatPr defaultRowHeight="12.75"/>
  <cols>
    <col min="1" max="1" width="9.140625" style="53"/>
    <col min="2" max="2" width="11" style="53" customWidth="1"/>
    <col min="3" max="3" width="52" style="53" customWidth="1"/>
    <col min="4" max="4" width="21.42578125" style="53" customWidth="1"/>
    <col min="5" max="5" width="9.140625" style="53"/>
    <col min="6" max="6" width="15.140625" style="53" customWidth="1"/>
    <col min="7" max="7" width="16.140625" style="53" customWidth="1"/>
    <col min="8" max="16384" width="9.140625" style="53"/>
  </cols>
  <sheetData>
    <row r="1" spans="1:4" ht="13.5" thickBot="1">
      <c r="A1" s="582" t="s">
        <v>1226</v>
      </c>
      <c r="B1" s="582"/>
      <c r="C1" s="582"/>
      <c r="D1" s="703" t="s">
        <v>1123</v>
      </c>
    </row>
    <row r="2" spans="1:4">
      <c r="A2" s="661" t="s">
        <v>1227</v>
      </c>
      <c r="B2" s="661"/>
      <c r="C2" s="661"/>
    </row>
    <row r="3" spans="1:4">
      <c r="A3" s="661" t="s">
        <v>1190</v>
      </c>
      <c r="B3" s="661"/>
      <c r="C3" s="661"/>
    </row>
    <row r="4" spans="1:4">
      <c r="D4" s="806" t="s">
        <v>1499</v>
      </c>
    </row>
    <row r="6" spans="1:4">
      <c r="A6" s="453" t="s">
        <v>1229</v>
      </c>
      <c r="B6" s="453" t="s">
        <v>1132</v>
      </c>
      <c r="C6" s="53" t="s">
        <v>192</v>
      </c>
      <c r="D6" s="807" t="s">
        <v>1136</v>
      </c>
    </row>
    <row r="7" spans="1:4">
      <c r="A7" s="453" t="s">
        <v>1032</v>
      </c>
      <c r="B7" s="453" t="s">
        <v>1228</v>
      </c>
      <c r="D7" s="808"/>
    </row>
    <row r="8" spans="1:4">
      <c r="A8" s="453">
        <v>390</v>
      </c>
      <c r="B8" s="801">
        <v>30</v>
      </c>
      <c r="C8" s="113" t="s">
        <v>1339</v>
      </c>
      <c r="D8" s="488">
        <f>'SWM FGD'!D$44+'SWM FGD'!E$44</f>
        <v>25522759</v>
      </c>
    </row>
    <row r="9" spans="1:4">
      <c r="A9" s="453">
        <v>400</v>
      </c>
      <c r="B9" s="801">
        <v>104952</v>
      </c>
      <c r="C9" s="206" t="s">
        <v>1195</v>
      </c>
      <c r="D9" s="488">
        <f>'MBG FGD'!D$44+'MBG FGD'!E$44</f>
        <v>40834540</v>
      </c>
    </row>
    <row r="10" spans="1:4">
      <c r="A10" s="453">
        <v>410</v>
      </c>
      <c r="B10" s="801">
        <v>11618</v>
      </c>
      <c r="C10" s="113" t="s">
        <v>1192</v>
      </c>
      <c r="D10" s="488">
        <f>'HSH FGD'!D$44+'HSH FGD'!E$44</f>
        <v>54210396</v>
      </c>
    </row>
    <row r="11" spans="1:4">
      <c r="A11" s="453">
        <v>420</v>
      </c>
      <c r="B11" s="801">
        <v>40</v>
      </c>
      <c r="C11" s="113" t="s">
        <v>1193</v>
      </c>
      <c r="D11" s="488">
        <f>'HSSA FGD'!D$44+'HSSA FGD'!E$44</f>
        <v>43132587</v>
      </c>
    </row>
    <row r="12" spans="1:4">
      <c r="A12" s="453">
        <v>430</v>
      </c>
      <c r="B12" s="801">
        <v>25554</v>
      </c>
      <c r="C12" s="113" t="s">
        <v>1194</v>
      </c>
      <c r="D12" s="488">
        <f>'MDA FGD'!D$44+'MDA FGD'!E$44</f>
        <v>1113485</v>
      </c>
    </row>
    <row r="13" spans="1:4">
      <c r="A13" s="453">
        <v>440</v>
      </c>
      <c r="B13" s="801">
        <v>42439</v>
      </c>
      <c r="C13" s="113" t="s">
        <v>1299</v>
      </c>
      <c r="D13" s="488">
        <f>'THC FGD'!D$44+'THC FGD'!E$44</f>
        <v>182967</v>
      </c>
    </row>
    <row r="14" spans="1:4">
      <c r="A14" s="453">
        <v>450</v>
      </c>
      <c r="B14" s="801">
        <v>89</v>
      </c>
      <c r="C14" s="113" t="s">
        <v>1191</v>
      </c>
      <c r="D14" s="488">
        <f>'TAMHSC FGD'!D$44+'TAMHSC FGD'!E$44</f>
        <v>37044848</v>
      </c>
    </row>
    <row r="15" spans="1:4">
      <c r="A15" s="453">
        <v>460</v>
      </c>
      <c r="B15" s="801">
        <v>130</v>
      </c>
      <c r="C15" s="113" t="s">
        <v>1340</v>
      </c>
      <c r="D15" s="488">
        <f>'UNTHSC FGD'!D$44+'UNTHSC FGD'!E$44</f>
        <v>29810882</v>
      </c>
    </row>
    <row r="16" spans="1:4">
      <c r="A16" s="453">
        <v>470</v>
      </c>
      <c r="B16" s="801">
        <v>412</v>
      </c>
      <c r="C16" s="206" t="s">
        <v>106</v>
      </c>
      <c r="D16" s="488">
        <f>'TTUHSC FGD'!D$44+'TTUHSC FGD'!E$44</f>
        <v>51990811</v>
      </c>
    </row>
    <row r="17" spans="1:8">
      <c r="A17" s="453">
        <v>480</v>
      </c>
      <c r="B17" s="801">
        <v>862</v>
      </c>
      <c r="C17" s="206" t="s">
        <v>1230</v>
      </c>
      <c r="D17" s="488">
        <f>'TTUHSCEP FGD'!D$44+'TTUHSCEP FGD'!E$44</f>
        <v>8991570</v>
      </c>
    </row>
    <row r="18" spans="1:8">
      <c r="A18" s="453">
        <v>500</v>
      </c>
      <c r="B18" s="801">
        <v>203599</v>
      </c>
      <c r="C18" s="206" t="s">
        <v>1316</v>
      </c>
      <c r="D18" s="488">
        <f>'RGVM FGD'!D$44+'RGVM FGD'!E$44</f>
        <v>2146974</v>
      </c>
    </row>
    <row r="19" spans="1:8">
      <c r="A19" s="453">
        <v>510</v>
      </c>
      <c r="B19" s="801">
        <v>203658</v>
      </c>
      <c r="C19" s="206" t="s">
        <v>1315</v>
      </c>
      <c r="D19" s="488">
        <f>'AUSM FGD'!D$44+'AUSM FGD'!E$44</f>
        <v>2537661</v>
      </c>
    </row>
    <row r="20" spans="1:8">
      <c r="A20" s="453"/>
      <c r="B20" s="801"/>
      <c r="C20" s="206"/>
      <c r="D20" s="488"/>
    </row>
    <row r="21" spans="1:8" ht="13.5" thickBot="1">
      <c r="B21" s="802">
        <v>445566</v>
      </c>
      <c r="D21" s="809">
        <f>SUM(D8:D20)</f>
        <v>297519480</v>
      </c>
    </row>
    <row r="22" spans="1:8" ht="13.5" thickTop="1"/>
    <row r="25" spans="1:8">
      <c r="C25" s="53" t="s">
        <v>1231</v>
      </c>
      <c r="D25" s="488">
        <f>'Smmy FGD'!D416+'Smmy FGD'!E416</f>
        <v>297519480</v>
      </c>
    </row>
    <row r="26" spans="1:8">
      <c r="D26" s="488">
        <f>D21-D25</f>
        <v>0</v>
      </c>
    </row>
    <row r="27" spans="1:8">
      <c r="D27" s="488"/>
    </row>
    <row r="28" spans="1:8" s="852" customFormat="1" ht="41.25" customHeight="1">
      <c r="F28" s="853" t="s">
        <v>1233</v>
      </c>
      <c r="G28" s="854" t="s">
        <v>1234</v>
      </c>
      <c r="H28"/>
    </row>
    <row r="29" spans="1:8" customFormat="1">
      <c r="A29" s="812" t="s">
        <v>1235</v>
      </c>
      <c r="B29" s="852"/>
      <c r="G29" s="12"/>
    </row>
    <row r="30" spans="1:8" customFormat="1">
      <c r="B30" s="852"/>
      <c r="C30" s="50" t="s">
        <v>1236</v>
      </c>
      <c r="D30" s="368">
        <f>'Smmy FGD'!D167+'Smmy FGD'!E167</f>
        <v>265198654</v>
      </c>
      <c r="E30" s="368"/>
      <c r="F30" s="368">
        <f>D30</f>
        <v>265198654</v>
      </c>
      <c r="G30" s="12"/>
    </row>
    <row r="31" spans="1:8" customFormat="1">
      <c r="B31" s="852"/>
      <c r="C31" s="50" t="s">
        <v>1237</v>
      </c>
      <c r="D31" s="368">
        <f>'Smmy FGD'!D245+'Smmy FGD'!E245</f>
        <v>243602236</v>
      </c>
      <c r="E31" s="368"/>
      <c r="G31" s="368">
        <f>D30-D31</f>
        <v>21596418</v>
      </c>
      <c r="H31" s="852"/>
    </row>
    <row r="32" spans="1:8" customFormat="1">
      <c r="B32" s="852"/>
      <c r="H32" s="852"/>
    </row>
    <row r="33" spans="2:9" customFormat="1">
      <c r="B33" s="852"/>
      <c r="C33" s="50" t="s">
        <v>1238</v>
      </c>
      <c r="D33" s="368">
        <f>'Smmy FGD'!D324+'Smmy FGD'!E324</f>
        <v>57773908</v>
      </c>
      <c r="E33" s="368"/>
      <c r="F33" s="368">
        <f>D33</f>
        <v>57773908</v>
      </c>
      <c r="H33" s="852"/>
    </row>
    <row r="34" spans="2:9" customFormat="1">
      <c r="B34" s="852"/>
      <c r="C34" s="50" t="s">
        <v>1239</v>
      </c>
      <c r="D34" s="368">
        <f>'Smmy FGD'!D402+'Smmy FGD'!E402</f>
        <v>53917244</v>
      </c>
      <c r="E34" s="368"/>
      <c r="G34" s="855">
        <f>D33-D34</f>
        <v>3856664</v>
      </c>
      <c r="H34" s="852"/>
    </row>
    <row r="35" spans="2:9" customFormat="1" ht="13.5" thickBot="1">
      <c r="B35" s="852"/>
      <c r="C35" s="812" t="s">
        <v>1088</v>
      </c>
      <c r="F35" s="856">
        <f>SUM(F30:F34)</f>
        <v>322972562</v>
      </c>
      <c r="G35" s="856">
        <f>SUM(G31:G34)</f>
        <v>25453082</v>
      </c>
      <c r="H35" s="852"/>
      <c r="I35" s="50" t="s">
        <v>1240</v>
      </c>
    </row>
    <row r="37" spans="2:9">
      <c r="D37" s="368">
        <f>D34+D31-D25</f>
        <v>0</v>
      </c>
      <c r="I37" s="53" t="s">
        <v>1401</v>
      </c>
    </row>
    <row r="40" spans="2:9">
      <c r="F40" s="53" t="s">
        <v>1225</v>
      </c>
    </row>
  </sheetData>
  <sortState ref="A8:H16">
    <sortCondition ref="A8:A16"/>
  </sortState>
  <hyperlinks>
    <hyperlink ref="D1" location="Index!A1" display="Return to Index"/>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U107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N2" sqref="N2"/>
    </sheetView>
  </sheetViews>
  <sheetFormatPr defaultColWidth="9.140625" defaultRowHeight="12.75" outlineLevelRow="1"/>
  <cols>
    <col min="1" max="1" width="5.7109375" style="147" hidden="1" customWidth="1"/>
    <col min="2" max="2" width="60.140625" style="149" customWidth="1"/>
    <col min="3" max="3" width="60.140625" style="149" hidden="1" customWidth="1"/>
    <col min="4" max="4" width="18.42578125" style="149" customWidth="1"/>
    <col min="5" max="5" width="15.7109375" style="149" customWidth="1"/>
    <col min="6" max="6" width="15.140625" style="149" customWidth="1"/>
    <col min="7" max="7" width="16" style="149" customWidth="1"/>
    <col min="8" max="8" width="12.7109375" style="149" customWidth="1"/>
    <col min="9" max="9" width="17.42578125" style="149" customWidth="1"/>
    <col min="10" max="10" width="15.5703125" style="149" customWidth="1"/>
    <col min="11" max="11" width="16" style="149" customWidth="1"/>
    <col min="12" max="12" width="16.28515625" style="149" customWidth="1"/>
    <col min="13" max="13" width="18" style="149" customWidth="1"/>
    <col min="14" max="14" width="6.7109375" style="149" customWidth="1"/>
    <col min="15" max="15" width="12.7109375" style="50" customWidth="1"/>
    <col min="16" max="16384" width="9.140625" style="149"/>
  </cols>
  <sheetData>
    <row r="1" spans="1:15" s="147" customFormat="1" hidden="1">
      <c r="A1" s="147">
        <v>0</v>
      </c>
      <c r="B1" s="147">
        <v>1</v>
      </c>
      <c r="D1" s="147">
        <v>2</v>
      </c>
      <c r="E1" s="147">
        <v>3</v>
      </c>
      <c r="F1" s="147">
        <v>4</v>
      </c>
      <c r="G1" s="147">
        <v>5</v>
      </c>
      <c r="H1" s="147">
        <v>6</v>
      </c>
      <c r="I1" s="147">
        <v>7</v>
      </c>
      <c r="J1" s="147">
        <v>8</v>
      </c>
      <c r="K1" s="147">
        <v>9</v>
      </c>
      <c r="L1" s="147">
        <v>10</v>
      </c>
      <c r="M1" s="147">
        <v>11</v>
      </c>
      <c r="N1" s="147">
        <v>12</v>
      </c>
      <c r="O1" s="293"/>
    </row>
    <row r="2" spans="1:15" ht="20.25">
      <c r="A2" s="147">
        <v>1</v>
      </c>
      <c r="B2" s="1273" t="s">
        <v>134</v>
      </c>
      <c r="C2" s="1273"/>
      <c r="D2" s="1273"/>
      <c r="E2" s="1273"/>
      <c r="F2" s="1273"/>
      <c r="G2" s="1273"/>
      <c r="H2" s="148"/>
      <c r="K2" s="148"/>
      <c r="L2" s="148"/>
      <c r="M2" s="148"/>
      <c r="N2" s="737" t="s">
        <v>1123</v>
      </c>
    </row>
    <row r="3" spans="1:15" ht="20.25">
      <c r="A3" s="147">
        <v>2</v>
      </c>
      <c r="B3" s="1273" t="str">
        <f>'Smmy Chts'!$A$2</f>
        <v>For the Year Ended August 31, 2018</v>
      </c>
      <c r="C3" s="1273"/>
      <c r="D3" s="1273"/>
      <c r="E3" s="1273"/>
      <c r="F3" s="1273"/>
      <c r="G3" s="148"/>
      <c r="H3" s="148"/>
      <c r="K3" s="148"/>
      <c r="L3" s="148"/>
      <c r="M3" s="150"/>
    </row>
    <row r="4" spans="1:15" ht="20.25">
      <c r="A4" s="147">
        <v>3</v>
      </c>
      <c r="B4" s="1273" t="str">
        <f>'Smmy Chts'!$A$3</f>
        <v>Source: FY 2018 Annual Financial Report</v>
      </c>
      <c r="C4" s="1273"/>
      <c r="D4" s="1273"/>
      <c r="E4" s="1273"/>
      <c r="F4" s="1273"/>
      <c r="G4" s="148"/>
      <c r="H4" s="148"/>
      <c r="K4" s="148"/>
      <c r="L4" s="148"/>
      <c r="M4" s="150"/>
    </row>
    <row r="5" spans="1:15">
      <c r="A5" s="147">
        <v>4</v>
      </c>
      <c r="M5" s="147"/>
    </row>
    <row r="6" spans="1:15">
      <c r="A6" s="147">
        <v>5</v>
      </c>
      <c r="B6" s="1274" t="str">
        <f>'Smmy Chts'!$C$32</f>
        <v>Detail Worksheet FY 2018</v>
      </c>
      <c r="C6" s="1274"/>
      <c r="D6" s="1275"/>
      <c r="E6" s="1275"/>
      <c r="F6" s="1275"/>
      <c r="G6" s="1275"/>
      <c r="H6" s="1275"/>
      <c r="I6" s="1275"/>
      <c r="J6" s="1275"/>
      <c r="K6" s="1275"/>
      <c r="L6" s="1275"/>
      <c r="M6" s="1275"/>
    </row>
    <row r="7" spans="1:15">
      <c r="A7" s="147">
        <v>6</v>
      </c>
      <c r="B7" s="151"/>
      <c r="C7" s="151"/>
      <c r="M7" s="152" t="str">
        <f>'Smmy Chts'!$C$33</f>
        <v>FY 2018</v>
      </c>
    </row>
    <row r="8" spans="1:15" ht="38.25">
      <c r="A8" s="147">
        <v>7</v>
      </c>
      <c r="B8" s="153" t="s">
        <v>74</v>
      </c>
      <c r="C8" s="153"/>
      <c r="D8" s="154" t="s">
        <v>28</v>
      </c>
      <c r="E8" s="154" t="s">
        <v>29</v>
      </c>
      <c r="F8" s="154" t="s">
        <v>22</v>
      </c>
      <c r="G8" s="154" t="s">
        <v>30</v>
      </c>
      <c r="H8" s="154" t="s">
        <v>31</v>
      </c>
      <c r="I8" s="154" t="s">
        <v>32</v>
      </c>
      <c r="J8" s="154" t="s">
        <v>33</v>
      </c>
      <c r="K8" s="154" t="s">
        <v>34</v>
      </c>
      <c r="L8" s="154" t="s">
        <v>35</v>
      </c>
      <c r="M8" s="154" t="s">
        <v>36</v>
      </c>
    </row>
    <row r="9" spans="1:15">
      <c r="A9" s="147">
        <v>8</v>
      </c>
      <c r="B9" s="151" t="s">
        <v>0</v>
      </c>
      <c r="C9" s="151"/>
      <c r="D9" s="155"/>
      <c r="E9" s="155"/>
      <c r="F9" s="155"/>
      <c r="G9" s="155"/>
      <c r="H9" s="155"/>
      <c r="I9" s="155"/>
      <c r="J9" s="155"/>
      <c r="K9" s="155"/>
      <c r="L9" s="155"/>
      <c r="M9" s="155"/>
    </row>
    <row r="10" spans="1:15" hidden="1" outlineLevel="1">
      <c r="B10" s="392" t="str">
        <f>'AUSM FGD'!$B$2</f>
        <v>The University of Texas at Austin Medical School (M)</v>
      </c>
      <c r="C10" s="151"/>
      <c r="D10" s="155">
        <f>'AUSM FGD'!$D$10</f>
        <v>6071343</v>
      </c>
      <c r="E10" s="155">
        <f>'AUSM FGD'!$E$10</f>
        <v>0</v>
      </c>
      <c r="F10" s="155">
        <f>'AUSM FGD'!$F$10</f>
        <v>0</v>
      </c>
      <c r="G10" s="155">
        <f>'AUSM FGD'!$G$10</f>
        <v>0</v>
      </c>
      <c r="H10" s="155">
        <f>'AUSM FGD'!$H$10</f>
        <v>0</v>
      </c>
      <c r="I10" s="155">
        <f>'AUSM FGD'!$I$10</f>
        <v>0</v>
      </c>
      <c r="J10" s="155">
        <f>'AUSM FGD'!$J$10</f>
        <v>0</v>
      </c>
      <c r="K10" s="155">
        <f>'AUSM FGD'!$K$10</f>
        <v>0</v>
      </c>
      <c r="L10" s="155">
        <f>'AUSM FGD'!$L$10</f>
        <v>0</v>
      </c>
      <c r="M10" s="155">
        <f>'AUSM FGD'!$M$10</f>
        <v>6071343</v>
      </c>
    </row>
    <row r="11" spans="1:15" hidden="1" outlineLevel="1">
      <c r="B11" s="392" t="str">
        <f>'HSH FGD'!$B$2</f>
        <v>The University of Texas Health Science Center at Houston</v>
      </c>
      <c r="C11" s="151"/>
      <c r="D11" s="155">
        <f>'HSH FGD'!$D$10</f>
        <v>214802895</v>
      </c>
      <c r="E11" s="155">
        <f>'HSH FGD'!$E$10</f>
        <v>0</v>
      </c>
      <c r="F11" s="155">
        <f>'HSH FGD'!$F$10</f>
        <v>0</v>
      </c>
      <c r="G11" s="155">
        <f>'HSH FGD'!$G$10</f>
        <v>0</v>
      </c>
      <c r="H11" s="155">
        <f>'HSH FGD'!$H$10</f>
        <v>0</v>
      </c>
      <c r="I11" s="155">
        <f>'HSH FGD'!$I$10</f>
        <v>0</v>
      </c>
      <c r="J11" s="155">
        <f>'HSH FGD'!$J$10</f>
        <v>0</v>
      </c>
      <c r="K11" s="155">
        <f>'HSH FGD'!$K$10</f>
        <v>0</v>
      </c>
      <c r="L11" s="155">
        <f>'HSH FGD'!$L$10</f>
        <v>0</v>
      </c>
      <c r="M11" s="155">
        <f>'HSH FGD'!$M$10</f>
        <v>214802895</v>
      </c>
    </row>
    <row r="12" spans="1:15" hidden="1" outlineLevel="1">
      <c r="B12" s="392" t="str">
        <f>'HSSA FGD'!$B$2</f>
        <v>The University of Texas Health Science Center at San Antonio</v>
      </c>
      <c r="C12" s="151"/>
      <c r="D12" s="155">
        <f>'HSSA FGD'!$D$10</f>
        <v>169212881</v>
      </c>
      <c r="E12" s="155">
        <f>'HSSA FGD'!$E$10</f>
        <v>0</v>
      </c>
      <c r="F12" s="155">
        <f>'HSSA FGD'!$F$10</f>
        <v>0</v>
      </c>
      <c r="G12" s="155">
        <f>'HSSA FGD'!$G$10</f>
        <v>0</v>
      </c>
      <c r="H12" s="155">
        <f>'HSSA FGD'!$H$10</f>
        <v>0</v>
      </c>
      <c r="I12" s="155">
        <f>'HSSA FGD'!$I$10</f>
        <v>0</v>
      </c>
      <c r="J12" s="155">
        <f>'HSSA FGD'!$J$10</f>
        <v>0</v>
      </c>
      <c r="K12" s="155">
        <f>'HSSA FGD'!$K$10</f>
        <v>0</v>
      </c>
      <c r="L12" s="155">
        <f>'HSSA FGD'!$L$10</f>
        <v>0</v>
      </c>
      <c r="M12" s="155">
        <f>'HSSA FGD'!$M$10</f>
        <v>169212881</v>
      </c>
    </row>
    <row r="13" spans="1:15" hidden="1" outlineLevel="1">
      <c r="B13" s="392" t="str">
        <f>'MBG FGD'!$B$2</f>
        <v>The University of Texas Medical Branch at Galveston</v>
      </c>
      <c r="C13" s="151"/>
      <c r="D13" s="155">
        <f>'MBG FGD'!$D$10</f>
        <v>369420210</v>
      </c>
      <c r="E13" s="155">
        <f>'MBG FGD'!$E$10</f>
        <v>0</v>
      </c>
      <c r="F13" s="155">
        <f>'MBG FGD'!$F$10</f>
        <v>0</v>
      </c>
      <c r="G13" s="155">
        <f>'MBG FGD'!$G$10</f>
        <v>0</v>
      </c>
      <c r="H13" s="155">
        <f>'MBG FGD'!$H$10</f>
        <v>0</v>
      </c>
      <c r="I13" s="155">
        <f>'MBG FGD'!$I$10</f>
        <v>0</v>
      </c>
      <c r="J13" s="155">
        <f>'MBG FGD'!$J$10</f>
        <v>0</v>
      </c>
      <c r="K13" s="155">
        <f>'MBG FGD'!$K$10</f>
        <v>0</v>
      </c>
      <c r="L13" s="155">
        <f>'MBG FGD'!$L$10</f>
        <v>0</v>
      </c>
      <c r="M13" s="155">
        <f>'MBG FGD'!$M$10</f>
        <v>369420210</v>
      </c>
    </row>
    <row r="14" spans="1:15" hidden="1" outlineLevel="1">
      <c r="B14" s="392" t="str">
        <f>'MDA FGD'!$B$2</f>
        <v>The University of Texas M.D. Anderson Cancer Center</v>
      </c>
      <c r="C14" s="151"/>
      <c r="D14" s="155">
        <f>'MDA FGD'!$D$10</f>
        <v>210130004</v>
      </c>
      <c r="E14" s="155">
        <f>'MDA FGD'!$E$10</f>
        <v>0</v>
      </c>
      <c r="F14" s="155">
        <f>'MDA FGD'!$F$10</f>
        <v>0</v>
      </c>
      <c r="G14" s="155">
        <f>'MDA FGD'!$G$10</f>
        <v>0</v>
      </c>
      <c r="H14" s="155">
        <f>'MDA FGD'!$H$10</f>
        <v>0</v>
      </c>
      <c r="I14" s="155">
        <f>'MDA FGD'!$I$10</f>
        <v>0</v>
      </c>
      <c r="J14" s="155">
        <f>'MDA FGD'!$J$10</f>
        <v>0</v>
      </c>
      <c r="K14" s="155">
        <f>'MDA FGD'!$K$10</f>
        <v>0</v>
      </c>
      <c r="L14" s="155">
        <f>'MDA FGD'!$L$10</f>
        <v>0</v>
      </c>
      <c r="M14" s="155">
        <f>'MDA FGD'!$M$10</f>
        <v>210130004</v>
      </c>
    </row>
    <row r="15" spans="1:15" hidden="1" outlineLevel="1">
      <c r="B15" s="392" t="str">
        <f>'RGVM FGD'!$B$2</f>
        <v>The University of Texas Rio Grande Valley Medical School (M)</v>
      </c>
      <c r="C15" s="151"/>
      <c r="D15" s="155">
        <f>'RGVM FGD'!$D$10</f>
        <v>26403746</v>
      </c>
      <c r="E15" s="155">
        <f>'RGVM FGD'!$E$10</f>
        <v>0</v>
      </c>
      <c r="F15" s="155">
        <f>'RGVM FGD'!$F$10</f>
        <v>0</v>
      </c>
      <c r="G15" s="155">
        <f>'RGVM FGD'!$G$10</f>
        <v>0</v>
      </c>
      <c r="H15" s="155">
        <f>'RGVM FGD'!$H$10</f>
        <v>0</v>
      </c>
      <c r="I15" s="155">
        <f>'RGVM FGD'!$I$10</f>
        <v>0</v>
      </c>
      <c r="J15" s="155">
        <f>'RGVM FGD'!$J$10</f>
        <v>0</v>
      </c>
      <c r="K15" s="155">
        <f>'RGVM FGD'!$K$10</f>
        <v>0</v>
      </c>
      <c r="L15" s="155">
        <f>'RGVM FGD'!$L$10</f>
        <v>0</v>
      </c>
      <c r="M15" s="155">
        <f>'RGVM FGD'!$M$10</f>
        <v>26403746</v>
      </c>
    </row>
    <row r="16" spans="1:15" hidden="1" outlineLevel="1">
      <c r="B16" s="392" t="str">
        <f>'SWM FGD'!$B$2</f>
        <v>The University of Texas Southwestern Medical Center</v>
      </c>
      <c r="C16" s="151"/>
      <c r="D16" s="155">
        <f>'SWM FGD'!$D$10</f>
        <v>191118600</v>
      </c>
      <c r="E16" s="155">
        <f>'SWM FGD'!$E$10</f>
        <v>0</v>
      </c>
      <c r="F16" s="155">
        <f>'SWM FGD'!$F$10</f>
        <v>0</v>
      </c>
      <c r="G16" s="155">
        <f>'SWM FGD'!$G$10</f>
        <v>0</v>
      </c>
      <c r="H16" s="155">
        <f>'SWM FGD'!$H$10</f>
        <v>0</v>
      </c>
      <c r="I16" s="155">
        <f>'SWM FGD'!$I$10</f>
        <v>0</v>
      </c>
      <c r="J16" s="155">
        <f>'SWM FGD'!$J$10</f>
        <v>0</v>
      </c>
      <c r="K16" s="155">
        <f>'SWM FGD'!$K$10</f>
        <v>0</v>
      </c>
      <c r="L16" s="155">
        <f>'SWM FGD'!$L$10</f>
        <v>0</v>
      </c>
      <c r="M16" s="155">
        <f>'SWM FGD'!$M$10</f>
        <v>191118600</v>
      </c>
    </row>
    <row r="17" spans="1:13" hidden="1" outlineLevel="1">
      <c r="B17" s="392" t="str">
        <f>'TAMHSC FGD'!$B$2</f>
        <v>Texas A&amp;M University System Health Science Center</v>
      </c>
      <c r="C17" s="151"/>
      <c r="D17" s="155">
        <f>'TAMHSC FGD'!$D$10</f>
        <v>161801242</v>
      </c>
      <c r="E17" s="155">
        <f>'TAMHSC FGD'!$E$10</f>
        <v>0</v>
      </c>
      <c r="F17" s="155">
        <f>'TAMHSC FGD'!$F$10</f>
        <v>0</v>
      </c>
      <c r="G17" s="155">
        <f>'TAMHSC FGD'!$G$10</f>
        <v>0</v>
      </c>
      <c r="H17" s="155">
        <f>'TAMHSC FGD'!$H$10</f>
        <v>0</v>
      </c>
      <c r="I17" s="155">
        <f>'TAMHSC FGD'!$I$10</f>
        <v>0</v>
      </c>
      <c r="J17" s="155">
        <f>'TAMHSC FGD'!$J$10</f>
        <v>0</v>
      </c>
      <c r="K17" s="155">
        <f>'TAMHSC FGD'!$K$10</f>
        <v>0</v>
      </c>
      <c r="L17" s="155">
        <f>'TAMHSC FGD'!$L$10</f>
        <v>0</v>
      </c>
      <c r="M17" s="155">
        <f>'TAMHSC FGD'!$M$10</f>
        <v>161801242</v>
      </c>
    </row>
    <row r="18" spans="1:13" hidden="1" outlineLevel="1">
      <c r="B18" s="392" t="str">
        <f>'THC FGD'!$B$2</f>
        <v>The University of Texas Health Science Center at Tyler</v>
      </c>
      <c r="C18" s="151"/>
      <c r="D18" s="155">
        <f>'THC FGD'!$D$10</f>
        <v>51387510</v>
      </c>
      <c r="E18" s="155">
        <f>'THC FGD'!$E$10</f>
        <v>0</v>
      </c>
      <c r="F18" s="155">
        <f>'THC FGD'!$F$10</f>
        <v>0</v>
      </c>
      <c r="G18" s="155">
        <f>'THC FGD'!$G$10</f>
        <v>0</v>
      </c>
      <c r="H18" s="155">
        <f>'THC FGD'!$H$10</f>
        <v>0</v>
      </c>
      <c r="I18" s="155">
        <f>'THC FGD'!$I$10</f>
        <v>0</v>
      </c>
      <c r="J18" s="155">
        <f>'THC FGD'!$J$10</f>
        <v>0</v>
      </c>
      <c r="K18" s="155">
        <f>'THC FGD'!$K$10</f>
        <v>0</v>
      </c>
      <c r="L18" s="155">
        <f>'THC FGD'!$L$10</f>
        <v>0</v>
      </c>
      <c r="M18" s="155">
        <f>'THC FGD'!$M$10</f>
        <v>51387510</v>
      </c>
    </row>
    <row r="19" spans="1:13" hidden="1" outlineLevel="1">
      <c r="B19" s="392" t="str">
        <f>'TTUHSC FGD'!$B$2</f>
        <v>Texas Tech University Health Sciences Center</v>
      </c>
      <c r="C19" s="151"/>
      <c r="D19" s="155">
        <f>'TTUHSC FGD'!$D$10</f>
        <v>154380009</v>
      </c>
      <c r="E19" s="155">
        <f>'TTUHSC FGD'!$E$10</f>
        <v>0</v>
      </c>
      <c r="F19" s="155">
        <f>'TTUHSC FGD'!$F$10</f>
        <v>0</v>
      </c>
      <c r="G19" s="155">
        <f>'TTUHSC FGD'!$G$10</f>
        <v>12127258</v>
      </c>
      <c r="H19" s="155">
        <f>'TTUHSC FGD'!$H$10</f>
        <v>0</v>
      </c>
      <c r="I19" s="155">
        <f>'TTUHSC FGD'!$I$10</f>
        <v>0</v>
      </c>
      <c r="J19" s="155">
        <f>'TTUHSC FGD'!$J$10</f>
        <v>0</v>
      </c>
      <c r="K19" s="155">
        <f>'TTUHSC FGD'!$K$10</f>
        <v>0</v>
      </c>
      <c r="L19" s="155">
        <f>'TTUHSC FGD'!$L$10</f>
        <v>0</v>
      </c>
      <c r="M19" s="155">
        <f>'TTUHSC FGD'!$M$10</f>
        <v>166507267</v>
      </c>
    </row>
    <row r="20" spans="1:13" hidden="1" outlineLevel="1">
      <c r="B20" s="392" t="str">
        <f>'TTUHSCEP FGD'!$B$2</f>
        <v>Texas Tech University Health Sciences Center at El Paso</v>
      </c>
      <c r="C20" s="151"/>
      <c r="D20" s="155">
        <f>'TTUHSCEP FGD'!$D$10</f>
        <v>75659465</v>
      </c>
      <c r="E20" s="155">
        <f>'TTUHSCEP FGD'!$E$10</f>
        <v>0</v>
      </c>
      <c r="F20" s="155">
        <f>'TTUHSCEP FGD'!$F$10</f>
        <v>0</v>
      </c>
      <c r="G20" s="155">
        <f>'TTUHSCEP FGD'!$G$10</f>
        <v>0</v>
      </c>
      <c r="H20" s="155">
        <f>'TTUHSCEP FGD'!$H$10</f>
        <v>0</v>
      </c>
      <c r="I20" s="155">
        <f>'TTUHSCEP FGD'!$I$10</f>
        <v>0</v>
      </c>
      <c r="J20" s="155">
        <f>'TTUHSCEP FGD'!$J$10</f>
        <v>0</v>
      </c>
      <c r="K20" s="155">
        <f>'TTUHSCEP FGD'!$K$10</f>
        <v>0</v>
      </c>
      <c r="L20" s="155">
        <f>'TTUHSCEP FGD'!$L$10</f>
        <v>0</v>
      </c>
      <c r="M20" s="155">
        <f>'TTUHSCEP FGD'!$M$10</f>
        <v>75659465</v>
      </c>
    </row>
    <row r="21" spans="1:13" hidden="1" outlineLevel="1">
      <c r="B21" s="392" t="str">
        <f>'UNTHSC FGD'!$B$2</f>
        <v>University of North Texas Health Science Center at Fort Worth</v>
      </c>
      <c r="C21" s="151"/>
      <c r="D21" s="155">
        <f>'UNTHSC FGD'!$D$10</f>
        <v>102748866</v>
      </c>
      <c r="E21" s="155">
        <f>'UNTHSC FGD'!$E$10</f>
        <v>0</v>
      </c>
      <c r="F21" s="155">
        <f>'UNTHSC FGD'!$F$10</f>
        <v>0</v>
      </c>
      <c r="G21" s="155">
        <f>'UNTHSC FGD'!$G$10</f>
        <v>0</v>
      </c>
      <c r="H21" s="155">
        <f>'UNTHSC FGD'!$H$10</f>
        <v>0</v>
      </c>
      <c r="I21" s="155">
        <f>'UNTHSC FGD'!$I$10</f>
        <v>0</v>
      </c>
      <c r="J21" s="155">
        <f>'UNTHSC FGD'!$J$10</f>
        <v>0</v>
      </c>
      <c r="K21" s="155">
        <f>'UNTHSC FGD'!$K$10</f>
        <v>0</v>
      </c>
      <c r="L21" s="155">
        <f>'UNTHSC FGD'!$L$10</f>
        <v>0</v>
      </c>
      <c r="M21" s="155">
        <f>'UNTHSC FGD'!$M$10</f>
        <v>102748866</v>
      </c>
    </row>
    <row r="22" spans="1:13" ht="12.75" customHeight="1" collapsed="1">
      <c r="A22" s="147">
        <v>9</v>
      </c>
      <c r="B22" s="149" t="s">
        <v>1</v>
      </c>
      <c r="D22" s="355">
        <f t="shared" ref="D22:M22" si="0">SUM(D10:D21)</f>
        <v>1733136771</v>
      </c>
      <c r="E22" s="355">
        <f t="shared" si="0"/>
        <v>0</v>
      </c>
      <c r="F22" s="355">
        <f t="shared" si="0"/>
        <v>0</v>
      </c>
      <c r="G22" s="355">
        <f t="shared" si="0"/>
        <v>12127258</v>
      </c>
      <c r="H22" s="355">
        <f t="shared" si="0"/>
        <v>0</v>
      </c>
      <c r="I22" s="355">
        <f t="shared" si="0"/>
        <v>0</v>
      </c>
      <c r="J22" s="355">
        <f t="shared" si="0"/>
        <v>0</v>
      </c>
      <c r="K22" s="355">
        <f t="shared" si="0"/>
        <v>0</v>
      </c>
      <c r="L22" s="355">
        <f t="shared" si="0"/>
        <v>0</v>
      </c>
      <c r="M22" s="357">
        <f t="shared" si="0"/>
        <v>1745264029</v>
      </c>
    </row>
    <row r="23" spans="1:13" ht="12.75" hidden="1" customHeight="1" outlineLevel="1">
      <c r="B23" s="392" t="str">
        <f>'AUSM FGD'!$B$2</f>
        <v>The University of Texas at Austin Medical School (M)</v>
      </c>
      <c r="D23" s="355">
        <f>'AUSM FGD'!$D$11</f>
        <v>0</v>
      </c>
      <c r="E23" s="355">
        <f>'AUSM FGD'!$E$11</f>
        <v>1430606</v>
      </c>
      <c r="F23" s="355">
        <f>'AUSM FGD'!$F$11</f>
        <v>0</v>
      </c>
      <c r="G23" s="355">
        <f>'AUSM FGD'!$G$11</f>
        <v>1256657</v>
      </c>
      <c r="H23" s="355">
        <f>'AUSM FGD'!$H$11</f>
        <v>0</v>
      </c>
      <c r="I23" s="355">
        <f>'AUSM FGD'!$I$11</f>
        <v>0</v>
      </c>
      <c r="J23" s="355">
        <f>'AUSM FGD'!$J$11</f>
        <v>0</v>
      </c>
      <c r="K23" s="355">
        <f>'AUSM FGD'!$K$11</f>
        <v>0</v>
      </c>
      <c r="L23" s="355">
        <f>'AUSM FGD'!$L$11</f>
        <v>0</v>
      </c>
      <c r="M23" s="357">
        <f>'AUSM FGD'!$M$11</f>
        <v>2687263</v>
      </c>
    </row>
    <row r="24" spans="1:13" ht="12.75" hidden="1" customHeight="1" outlineLevel="1">
      <c r="B24" s="392" t="str">
        <f>'HSH FGD'!$B$2</f>
        <v>The University of Texas Health Science Center at Houston</v>
      </c>
      <c r="D24" s="355">
        <f>'HSH FGD'!$D$11</f>
        <v>5688124</v>
      </c>
      <c r="E24" s="355">
        <f>'HSH FGD'!$E$11</f>
        <v>365243</v>
      </c>
      <c r="F24" s="355">
        <f>'HSH FGD'!$F$11</f>
        <v>0</v>
      </c>
      <c r="G24" s="355">
        <f>'HSH FGD'!$G$11</f>
        <v>12757514</v>
      </c>
      <c r="H24" s="355">
        <f>'HSH FGD'!$H$11</f>
        <v>0</v>
      </c>
      <c r="I24" s="355">
        <f>'HSH FGD'!$I$11</f>
        <v>0</v>
      </c>
      <c r="J24" s="355">
        <f>'HSH FGD'!$J$11</f>
        <v>0</v>
      </c>
      <c r="K24" s="355">
        <f>'HSH FGD'!$K$11</f>
        <v>0</v>
      </c>
      <c r="L24" s="355">
        <f>'HSH FGD'!$L$11</f>
        <v>0</v>
      </c>
      <c r="M24" s="357">
        <f>'HSH FGD'!$M$11</f>
        <v>18810881</v>
      </c>
    </row>
    <row r="25" spans="1:13" ht="12.75" hidden="1" customHeight="1" outlineLevel="1">
      <c r="B25" s="392" t="str">
        <f>'HSSA FGD'!$B$2</f>
        <v>The University of Texas Health Science Center at San Antonio</v>
      </c>
      <c r="D25" s="355">
        <f>'HSSA FGD'!$D$11</f>
        <v>2021376</v>
      </c>
      <c r="E25" s="355">
        <f>'HSSA FGD'!$E$11</f>
        <v>955352</v>
      </c>
      <c r="F25" s="355">
        <f>'HSSA FGD'!$F$11</f>
        <v>0</v>
      </c>
      <c r="G25" s="355">
        <f>'HSSA FGD'!$G$11</f>
        <v>11986918</v>
      </c>
      <c r="H25" s="355">
        <f>'HSSA FGD'!$H$11</f>
        <v>0</v>
      </c>
      <c r="I25" s="355">
        <f>'HSSA FGD'!$I$11</f>
        <v>0</v>
      </c>
      <c r="J25" s="355">
        <f>'HSSA FGD'!$J$11</f>
        <v>0</v>
      </c>
      <c r="K25" s="355">
        <f>'HSSA FGD'!$K$11</f>
        <v>0</v>
      </c>
      <c r="L25" s="355">
        <f>'HSSA FGD'!$L$11</f>
        <v>0</v>
      </c>
      <c r="M25" s="357">
        <f>'HSSA FGD'!$M$11</f>
        <v>14963646</v>
      </c>
    </row>
    <row r="26" spans="1:13" ht="12.75" hidden="1" customHeight="1" outlineLevel="1">
      <c r="B26" s="392" t="str">
        <f>'MBG FGD'!$B$2</f>
        <v>The University of Texas Medical Branch at Galveston</v>
      </c>
      <c r="D26" s="355">
        <f>'MBG FGD'!$D$11</f>
        <v>45000</v>
      </c>
      <c r="E26" s="355">
        <f>'MBG FGD'!$E$11</f>
        <v>408593</v>
      </c>
      <c r="F26" s="355">
        <f>'MBG FGD'!$F$11</f>
        <v>0</v>
      </c>
      <c r="G26" s="355">
        <f>'MBG FGD'!$G$11</f>
        <v>10509297</v>
      </c>
      <c r="H26" s="355">
        <f>'MBG FGD'!$H$11</f>
        <v>0</v>
      </c>
      <c r="I26" s="355">
        <f>'MBG FGD'!$I$11</f>
        <v>0</v>
      </c>
      <c r="J26" s="355">
        <f>'MBG FGD'!$J$11</f>
        <v>0</v>
      </c>
      <c r="K26" s="355">
        <f>'MBG FGD'!$K$11</f>
        <v>0</v>
      </c>
      <c r="L26" s="355">
        <f>'MBG FGD'!$L$11</f>
        <v>0</v>
      </c>
      <c r="M26" s="357">
        <f>'MBG FGD'!$M$11</f>
        <v>10962890</v>
      </c>
    </row>
    <row r="27" spans="1:13" ht="12.75" hidden="1" customHeight="1" outlineLevel="1">
      <c r="B27" s="392" t="str">
        <f>'MDA FGD'!$B$2</f>
        <v>The University of Texas M.D. Anderson Cancer Center</v>
      </c>
      <c r="D27" s="355">
        <f>'MDA FGD'!$D$11</f>
        <v>97972</v>
      </c>
      <c r="E27" s="355">
        <f>'MDA FGD'!$E$11</f>
        <v>2309388</v>
      </c>
      <c r="F27" s="355">
        <f>'MDA FGD'!$F$11</f>
        <v>0</v>
      </c>
      <c r="G27" s="355">
        <f>'MDA FGD'!$G$11</f>
        <v>45959916</v>
      </c>
      <c r="H27" s="355">
        <f>'MDA FGD'!$H$11</f>
        <v>0</v>
      </c>
      <c r="I27" s="355">
        <f>'MDA FGD'!$I$11</f>
        <v>0</v>
      </c>
      <c r="J27" s="355">
        <f>'MDA FGD'!$J$11</f>
        <v>0</v>
      </c>
      <c r="K27" s="355">
        <f>'MDA FGD'!$K$11</f>
        <v>0</v>
      </c>
      <c r="L27" s="355">
        <f>'MDA FGD'!$L$11</f>
        <v>0</v>
      </c>
      <c r="M27" s="357">
        <f>'MDA FGD'!$M$11</f>
        <v>48367276</v>
      </c>
    </row>
    <row r="28" spans="1:13" ht="12.75" hidden="1" customHeight="1" outlineLevel="1">
      <c r="B28" s="392" t="str">
        <f>'RGVM FGD'!$B$2</f>
        <v>The University of Texas Rio Grande Valley Medical School (M)</v>
      </c>
      <c r="D28" s="355">
        <f>'RGVM FGD'!$D$11</f>
        <v>2925000</v>
      </c>
      <c r="E28" s="355">
        <f>'RGVM FGD'!$E$11</f>
        <v>0</v>
      </c>
      <c r="F28" s="355">
        <f>'RGVM FGD'!$F$11</f>
        <v>0</v>
      </c>
      <c r="G28" s="355">
        <f>'RGVM FGD'!$G$11</f>
        <v>0</v>
      </c>
      <c r="H28" s="355">
        <f>'RGVM FGD'!$H$11</f>
        <v>0</v>
      </c>
      <c r="I28" s="355">
        <f>'RGVM FGD'!$I$11</f>
        <v>0</v>
      </c>
      <c r="J28" s="355">
        <f>'RGVM FGD'!$J$11</f>
        <v>0</v>
      </c>
      <c r="K28" s="355">
        <f>'RGVM FGD'!$K$11</f>
        <v>0</v>
      </c>
      <c r="L28" s="355">
        <f>'RGVM FGD'!$L$11</f>
        <v>0</v>
      </c>
      <c r="M28" s="357">
        <f>'RGVM FGD'!$M$11</f>
        <v>2925000</v>
      </c>
    </row>
    <row r="29" spans="1:13" ht="12.75" hidden="1" customHeight="1" outlineLevel="1">
      <c r="B29" s="392" t="str">
        <f>'SWM FGD'!$B$2</f>
        <v>The University of Texas Southwestern Medical Center</v>
      </c>
      <c r="D29" s="355">
        <f>'SWM FGD'!$D$11</f>
        <v>2100000</v>
      </c>
      <c r="E29" s="355">
        <f>'SWM FGD'!$E$11</f>
        <v>1537881</v>
      </c>
      <c r="F29" s="355">
        <f>'SWM FGD'!$F$11</f>
        <v>0</v>
      </c>
      <c r="G29" s="355">
        <f>'SWM FGD'!$G$11</f>
        <v>38402817</v>
      </c>
      <c r="H29" s="355">
        <f>'SWM FGD'!$H$11</f>
        <v>0</v>
      </c>
      <c r="I29" s="355">
        <f>'SWM FGD'!$I$11</f>
        <v>0</v>
      </c>
      <c r="J29" s="355">
        <f>'SWM FGD'!$J$11</f>
        <v>0</v>
      </c>
      <c r="K29" s="355">
        <f>'SWM FGD'!$K$11</f>
        <v>0</v>
      </c>
      <c r="L29" s="355">
        <f>'SWM FGD'!$L$11</f>
        <v>0</v>
      </c>
      <c r="M29" s="357">
        <f>'SWM FGD'!$M$11</f>
        <v>42040698</v>
      </c>
    </row>
    <row r="30" spans="1:13" ht="12.75" hidden="1" customHeight="1" outlineLevel="1">
      <c r="B30" s="392" t="str">
        <f>'TAMHSC FGD'!$B$2</f>
        <v>Texas A&amp;M University System Health Science Center</v>
      </c>
      <c r="D30" s="355">
        <f>'TAMHSC FGD'!$D$11</f>
        <v>566299</v>
      </c>
      <c r="E30" s="355">
        <f>'TAMHSC FGD'!$E$11</f>
        <v>268392</v>
      </c>
      <c r="F30" s="355">
        <f>'TAMHSC FGD'!$F$11</f>
        <v>0</v>
      </c>
      <c r="G30" s="355">
        <f>'TAMHSC FGD'!$G$11</f>
        <v>4757176</v>
      </c>
      <c r="H30" s="355">
        <f>'TAMHSC FGD'!$H$11</f>
        <v>0</v>
      </c>
      <c r="I30" s="355">
        <f>'TAMHSC FGD'!$I$11</f>
        <v>0</v>
      </c>
      <c r="J30" s="355">
        <f>'TAMHSC FGD'!$J$11</f>
        <v>0</v>
      </c>
      <c r="K30" s="355">
        <f>'TAMHSC FGD'!$K$11</f>
        <v>0</v>
      </c>
      <c r="L30" s="355">
        <f>'TAMHSC FGD'!$L$11</f>
        <v>0</v>
      </c>
      <c r="M30" s="357">
        <f>'TAMHSC FGD'!$M$11</f>
        <v>5591867</v>
      </c>
    </row>
    <row r="31" spans="1:13" ht="12.75" hidden="1" customHeight="1" outlineLevel="1">
      <c r="B31" s="392" t="str">
        <f>'THC FGD'!$B$2</f>
        <v>The University of Texas Health Science Center at Tyler</v>
      </c>
      <c r="D31" s="355">
        <f>'THC FGD'!$D$11</f>
        <v>9216250</v>
      </c>
      <c r="E31" s="355">
        <f>'THC FGD'!$E$11</f>
        <v>867539</v>
      </c>
      <c r="F31" s="355">
        <f>'THC FGD'!$F$11</f>
        <v>0</v>
      </c>
      <c r="G31" s="355">
        <f>'THC FGD'!$G$11</f>
        <v>3057271</v>
      </c>
      <c r="H31" s="355">
        <f>'THC FGD'!$H$11</f>
        <v>0</v>
      </c>
      <c r="I31" s="355">
        <f>'THC FGD'!$I$11</f>
        <v>0</v>
      </c>
      <c r="J31" s="355">
        <f>'THC FGD'!$J$11</f>
        <v>0</v>
      </c>
      <c r="K31" s="355">
        <f>'THC FGD'!$K$11</f>
        <v>0</v>
      </c>
      <c r="L31" s="355">
        <f>'THC FGD'!$L$11</f>
        <v>0</v>
      </c>
      <c r="M31" s="357">
        <f>'THC FGD'!$M$11</f>
        <v>13141060</v>
      </c>
    </row>
    <row r="32" spans="1:13" ht="12.75" hidden="1" customHeight="1" outlineLevel="1">
      <c r="B32" s="392" t="str">
        <f>'TTUHSC FGD'!$B$2</f>
        <v>Texas Tech University Health Sciences Center</v>
      </c>
      <c r="D32" s="355">
        <f>'TTUHSC FGD'!$D$11</f>
        <v>5069124</v>
      </c>
      <c r="E32" s="355">
        <f>'TTUHSC FGD'!$E$11</f>
        <v>82852</v>
      </c>
      <c r="F32" s="355">
        <f>'TTUHSC FGD'!$F$11</f>
        <v>0</v>
      </c>
      <c r="G32" s="355">
        <f>'TTUHSC FGD'!$G$11</f>
        <v>6588365</v>
      </c>
      <c r="H32" s="355">
        <f>'TTUHSC FGD'!$H$11</f>
        <v>0</v>
      </c>
      <c r="I32" s="355">
        <f>'TTUHSC FGD'!$I$11</f>
        <v>0</v>
      </c>
      <c r="J32" s="355">
        <f>'TTUHSC FGD'!$J$11</f>
        <v>0</v>
      </c>
      <c r="K32" s="355">
        <f>'TTUHSC FGD'!$K$11</f>
        <v>0</v>
      </c>
      <c r="L32" s="355">
        <f>'TTUHSC FGD'!$L$11</f>
        <v>0</v>
      </c>
      <c r="M32" s="357">
        <f>'TTUHSC FGD'!$M$11</f>
        <v>11740341</v>
      </c>
    </row>
    <row r="33" spans="1:14" ht="12.75" hidden="1" customHeight="1" outlineLevel="1">
      <c r="B33" s="392" t="str">
        <f>'TTUHSCEP FGD'!$B$2</f>
        <v>Texas Tech University Health Sciences Center at El Paso</v>
      </c>
      <c r="D33" s="355">
        <f>'TTUHSCEP FGD'!$D$11</f>
        <v>1795322</v>
      </c>
      <c r="E33" s="355">
        <f>'TTUHSCEP FGD'!$E$11</f>
        <v>302120</v>
      </c>
      <c r="F33" s="355">
        <f>'TTUHSCEP FGD'!$F$11</f>
        <v>0</v>
      </c>
      <c r="G33" s="355">
        <f>'TTUHSCEP FGD'!$G$11</f>
        <v>4017392</v>
      </c>
      <c r="H33" s="355">
        <f>'TTUHSCEP FGD'!$H$11</f>
        <v>0</v>
      </c>
      <c r="I33" s="355">
        <f>'TTUHSCEP FGD'!$I$11</f>
        <v>0</v>
      </c>
      <c r="J33" s="355">
        <f>'TTUHSCEP FGD'!$J$11</f>
        <v>0</v>
      </c>
      <c r="K33" s="355">
        <f>'TTUHSCEP FGD'!$K$11</f>
        <v>0</v>
      </c>
      <c r="L33" s="355">
        <f>'TTUHSCEP FGD'!$L$11</f>
        <v>0</v>
      </c>
      <c r="M33" s="357">
        <f>'TTUHSCEP FGD'!$M$11</f>
        <v>6114834</v>
      </c>
    </row>
    <row r="34" spans="1:14" ht="12.75" hidden="1" customHeight="1" outlineLevel="1">
      <c r="B34" s="392" t="str">
        <f>'UNTHSC FGD'!$B$2</f>
        <v>University of North Texas Health Science Center at Fort Worth</v>
      </c>
      <c r="D34" s="355">
        <f>'UNTHSC FGD'!$D$11</f>
        <v>444000</v>
      </c>
      <c r="E34" s="355">
        <f>'UNTHSC FGD'!$E$11</f>
        <v>825000</v>
      </c>
      <c r="F34" s="355">
        <f>'UNTHSC FGD'!$F$11</f>
        <v>0</v>
      </c>
      <c r="G34" s="355">
        <f>'UNTHSC FGD'!$G$11</f>
        <v>1889527</v>
      </c>
      <c r="H34" s="355">
        <f>'UNTHSC FGD'!$H$11</f>
        <v>0</v>
      </c>
      <c r="I34" s="355">
        <f>'UNTHSC FGD'!$I$11</f>
        <v>0</v>
      </c>
      <c r="J34" s="355">
        <f>'UNTHSC FGD'!$J$11</f>
        <v>0</v>
      </c>
      <c r="K34" s="355">
        <f>'UNTHSC FGD'!$K$11</f>
        <v>0</v>
      </c>
      <c r="L34" s="355">
        <f>'UNTHSC FGD'!$L$11</f>
        <v>0</v>
      </c>
      <c r="M34" s="357">
        <f>'UNTHSC FGD'!$M$11</f>
        <v>3158527</v>
      </c>
    </row>
    <row r="35" spans="1:14" collapsed="1">
      <c r="A35" s="147">
        <v>10</v>
      </c>
      <c r="B35" s="149" t="s">
        <v>2</v>
      </c>
      <c r="D35" s="355">
        <f t="shared" ref="D35:M35" si="1">SUM(D23:D34)</f>
        <v>29968467</v>
      </c>
      <c r="E35" s="355">
        <f t="shared" si="1"/>
        <v>9352966</v>
      </c>
      <c r="F35" s="355">
        <f t="shared" si="1"/>
        <v>0</v>
      </c>
      <c r="G35" s="355">
        <f t="shared" si="1"/>
        <v>141182850</v>
      </c>
      <c r="H35" s="355">
        <f t="shared" si="1"/>
        <v>0</v>
      </c>
      <c r="I35" s="355">
        <f t="shared" si="1"/>
        <v>0</v>
      </c>
      <c r="J35" s="355">
        <f t="shared" si="1"/>
        <v>0</v>
      </c>
      <c r="K35" s="355">
        <f t="shared" si="1"/>
        <v>0</v>
      </c>
      <c r="L35" s="355">
        <f t="shared" si="1"/>
        <v>0</v>
      </c>
      <c r="M35" s="357">
        <f t="shared" si="1"/>
        <v>180504283</v>
      </c>
      <c r="N35" s="156"/>
    </row>
    <row r="36" spans="1:14" hidden="1" outlineLevel="1">
      <c r="B36" s="392" t="str">
        <f>'AUSM FGD'!$B$2</f>
        <v>The University of Texas at Austin Medical School (M)</v>
      </c>
      <c r="D36" s="355">
        <f>'AUSM FGD'!$D$12</f>
        <v>0</v>
      </c>
      <c r="E36" s="355">
        <f>'AUSM FGD'!$E$12</f>
        <v>0</v>
      </c>
      <c r="F36" s="355">
        <f>'AUSM FGD'!$F$12</f>
        <v>0</v>
      </c>
      <c r="G36" s="355">
        <f>'AUSM FGD'!$G$12</f>
        <v>0</v>
      </c>
      <c r="H36" s="355">
        <f>'AUSM FGD'!$H$12</f>
        <v>0</v>
      </c>
      <c r="I36" s="355">
        <f>'AUSM FGD'!$I$12</f>
        <v>0</v>
      </c>
      <c r="J36" s="355">
        <f>'AUSM FGD'!$J$12</f>
        <v>0</v>
      </c>
      <c r="K36" s="355">
        <f>'AUSM FGD'!$K$12</f>
        <v>0</v>
      </c>
      <c r="L36" s="355">
        <f>'AUSM FGD'!$L$12</f>
        <v>0</v>
      </c>
      <c r="M36" s="357">
        <f>'AUSM FGD'!$M$12</f>
        <v>0</v>
      </c>
      <c r="N36" s="156"/>
    </row>
    <row r="37" spans="1:14" hidden="1" outlineLevel="1">
      <c r="B37" s="392" t="str">
        <f>'HSH FGD'!$B$2</f>
        <v>The University of Texas Health Science Center at Houston</v>
      </c>
      <c r="D37" s="355">
        <f>'HSH FGD'!$D$12</f>
        <v>0</v>
      </c>
      <c r="E37" s="355">
        <f>'HSH FGD'!$E$12</f>
        <v>0</v>
      </c>
      <c r="F37" s="355">
        <f>'HSH FGD'!$F$12</f>
        <v>0</v>
      </c>
      <c r="G37" s="355">
        <f>'HSH FGD'!$G$12</f>
        <v>0</v>
      </c>
      <c r="H37" s="355">
        <f>'HSH FGD'!$H$12</f>
        <v>0</v>
      </c>
      <c r="I37" s="355">
        <f>'HSH FGD'!$I$12</f>
        <v>0</v>
      </c>
      <c r="J37" s="355">
        <f>'HSH FGD'!$J$12</f>
        <v>0</v>
      </c>
      <c r="K37" s="355">
        <f>'HSH FGD'!$K$12</f>
        <v>0</v>
      </c>
      <c r="L37" s="355">
        <f>'HSH FGD'!$L$12</f>
        <v>0</v>
      </c>
      <c r="M37" s="357">
        <f>'HSH FGD'!$M$12</f>
        <v>0</v>
      </c>
      <c r="N37" s="156"/>
    </row>
    <row r="38" spans="1:14" hidden="1" outlineLevel="1">
      <c r="B38" s="392" t="str">
        <f>'HSSA FGD'!$B$2</f>
        <v>The University of Texas Health Science Center at San Antonio</v>
      </c>
      <c r="D38" s="355">
        <f>'HSSA FGD'!$D$12</f>
        <v>0</v>
      </c>
      <c r="E38" s="355">
        <f>'HSSA FGD'!$E$12</f>
        <v>0</v>
      </c>
      <c r="F38" s="355">
        <f>'HSSA FGD'!$F$12</f>
        <v>0</v>
      </c>
      <c r="G38" s="355">
        <f>'HSSA FGD'!$G$12</f>
        <v>0</v>
      </c>
      <c r="H38" s="355">
        <f>'HSSA FGD'!$H$12</f>
        <v>0</v>
      </c>
      <c r="I38" s="355">
        <f>'HSSA FGD'!$I$12</f>
        <v>0</v>
      </c>
      <c r="J38" s="355">
        <f>'HSSA FGD'!$J$12</f>
        <v>0</v>
      </c>
      <c r="K38" s="355">
        <f>'HSSA FGD'!$K$12</f>
        <v>0</v>
      </c>
      <c r="L38" s="355">
        <f>'HSSA FGD'!$L$12</f>
        <v>0</v>
      </c>
      <c r="M38" s="357">
        <f>'HSSA FGD'!$M$12</f>
        <v>0</v>
      </c>
      <c r="N38" s="156"/>
    </row>
    <row r="39" spans="1:14" hidden="1" outlineLevel="1">
      <c r="B39" s="392" t="str">
        <f>'MBG FGD'!$B$2</f>
        <v>The University of Texas Medical Branch at Galveston</v>
      </c>
      <c r="D39" s="355">
        <f>'MBG FGD'!$D$12</f>
        <v>0</v>
      </c>
      <c r="E39" s="355">
        <f>'MBG FGD'!$E$12</f>
        <v>0</v>
      </c>
      <c r="F39" s="355">
        <f>'MBG FGD'!$F$12</f>
        <v>0</v>
      </c>
      <c r="G39" s="355">
        <f>'MBG FGD'!$G$12</f>
        <v>0</v>
      </c>
      <c r="H39" s="355">
        <f>'MBG FGD'!$H$12</f>
        <v>0</v>
      </c>
      <c r="I39" s="355">
        <f>'MBG FGD'!$I$12</f>
        <v>0</v>
      </c>
      <c r="J39" s="355">
        <f>'MBG FGD'!$J$12</f>
        <v>0</v>
      </c>
      <c r="K39" s="355">
        <f>'MBG FGD'!$K$12</f>
        <v>0</v>
      </c>
      <c r="L39" s="355">
        <f>'MBG FGD'!$L$12</f>
        <v>0</v>
      </c>
      <c r="M39" s="357">
        <f>'MBG FGD'!$M$12</f>
        <v>0</v>
      </c>
      <c r="N39" s="156"/>
    </row>
    <row r="40" spans="1:14" hidden="1" outlineLevel="1">
      <c r="B40" s="392" t="str">
        <f>'MDA FGD'!$B$2</f>
        <v>The University of Texas M.D. Anderson Cancer Center</v>
      </c>
      <c r="D40" s="355">
        <f>'MDA FGD'!$D$12</f>
        <v>0</v>
      </c>
      <c r="E40" s="355">
        <f>'MDA FGD'!$E$12</f>
        <v>0</v>
      </c>
      <c r="F40" s="355">
        <f>'MDA FGD'!$F$12</f>
        <v>0</v>
      </c>
      <c r="G40" s="355">
        <f>'MDA FGD'!$G$12</f>
        <v>0</v>
      </c>
      <c r="H40" s="355">
        <f>'MDA FGD'!$H$12</f>
        <v>0</v>
      </c>
      <c r="I40" s="355">
        <f>'MDA FGD'!$I$12</f>
        <v>0</v>
      </c>
      <c r="J40" s="355">
        <f>'MDA FGD'!$J$12</f>
        <v>0</v>
      </c>
      <c r="K40" s="355">
        <f>'MDA FGD'!$K$12</f>
        <v>0</v>
      </c>
      <c r="L40" s="355">
        <f>'MDA FGD'!$L$12</f>
        <v>0</v>
      </c>
      <c r="M40" s="357">
        <f>'MDA FGD'!$M$12</f>
        <v>0</v>
      </c>
      <c r="N40" s="156"/>
    </row>
    <row r="41" spans="1:14" hidden="1" outlineLevel="1">
      <c r="B41" s="392" t="str">
        <f>'RGVM FGD'!$B$2</f>
        <v>The University of Texas Rio Grande Valley Medical School (M)</v>
      </c>
      <c r="D41" s="355">
        <f>'RGVM FGD'!$D$12</f>
        <v>0</v>
      </c>
      <c r="E41" s="355">
        <f>'RGVM FGD'!$E$12</f>
        <v>0</v>
      </c>
      <c r="F41" s="355">
        <f>'RGVM FGD'!$F$12</f>
        <v>0</v>
      </c>
      <c r="G41" s="355">
        <f>'RGVM FGD'!$G$12</f>
        <v>0</v>
      </c>
      <c r="H41" s="355">
        <f>'RGVM FGD'!$H$12</f>
        <v>0</v>
      </c>
      <c r="I41" s="355">
        <f>'RGVM FGD'!$I$12</f>
        <v>0</v>
      </c>
      <c r="J41" s="355">
        <f>'RGVM FGD'!$J$12</f>
        <v>0</v>
      </c>
      <c r="K41" s="355">
        <f>'RGVM FGD'!$K$12</f>
        <v>0</v>
      </c>
      <c r="L41" s="355">
        <f>'RGVM FGD'!$L$12</f>
        <v>0</v>
      </c>
      <c r="M41" s="357">
        <f>'RGVM FGD'!$M$12</f>
        <v>0</v>
      </c>
      <c r="N41" s="156"/>
    </row>
    <row r="42" spans="1:14" hidden="1" outlineLevel="1">
      <c r="B42" s="392" t="str">
        <f>'SWM FGD'!$B$2</f>
        <v>The University of Texas Southwestern Medical Center</v>
      </c>
      <c r="D42" s="355">
        <f>'SWM FGD'!$D$12</f>
        <v>0</v>
      </c>
      <c r="E42" s="355">
        <f>'SWM FGD'!$E$12</f>
        <v>0</v>
      </c>
      <c r="F42" s="355">
        <f>'SWM FGD'!$F$12</f>
        <v>0</v>
      </c>
      <c r="G42" s="355">
        <f>'SWM FGD'!$G$12</f>
        <v>0</v>
      </c>
      <c r="H42" s="355">
        <f>'SWM FGD'!$H$12</f>
        <v>0</v>
      </c>
      <c r="I42" s="355">
        <f>'SWM FGD'!$I$12</f>
        <v>0</v>
      </c>
      <c r="J42" s="355">
        <f>'SWM FGD'!$J$12</f>
        <v>0</v>
      </c>
      <c r="K42" s="355">
        <f>'SWM FGD'!$K$12</f>
        <v>0</v>
      </c>
      <c r="L42" s="355">
        <f>'SWM FGD'!$L$12</f>
        <v>0</v>
      </c>
      <c r="M42" s="357">
        <f>'SWM FGD'!$M$12</f>
        <v>0</v>
      </c>
      <c r="N42" s="156"/>
    </row>
    <row r="43" spans="1:14" hidden="1" outlineLevel="1">
      <c r="B43" s="392" t="str">
        <f>'TAMHSC FGD'!$B$2</f>
        <v>Texas A&amp;M University System Health Science Center</v>
      </c>
      <c r="D43" s="355">
        <f>'TAMHSC FGD'!$D$12</f>
        <v>0</v>
      </c>
      <c r="E43" s="355">
        <f>'TAMHSC FGD'!$E$12</f>
        <v>0</v>
      </c>
      <c r="F43" s="355">
        <f>'TAMHSC FGD'!$F$12</f>
        <v>0</v>
      </c>
      <c r="G43" s="355">
        <f>'TAMHSC FGD'!$G$12</f>
        <v>0</v>
      </c>
      <c r="H43" s="355">
        <f>'TAMHSC FGD'!$H$12</f>
        <v>0</v>
      </c>
      <c r="I43" s="355">
        <f>'TAMHSC FGD'!$I$12</f>
        <v>0</v>
      </c>
      <c r="J43" s="355">
        <f>'TAMHSC FGD'!$J$12</f>
        <v>0</v>
      </c>
      <c r="K43" s="355">
        <f>'TAMHSC FGD'!$K$12</f>
        <v>0</v>
      </c>
      <c r="L43" s="355">
        <f>'TAMHSC FGD'!$L$12</f>
        <v>0</v>
      </c>
      <c r="M43" s="357">
        <f>'TAMHSC FGD'!$M$12</f>
        <v>0</v>
      </c>
      <c r="N43" s="156"/>
    </row>
    <row r="44" spans="1:14" hidden="1" outlineLevel="1">
      <c r="B44" s="392" t="str">
        <f>'THC FGD'!$B$2</f>
        <v>The University of Texas Health Science Center at Tyler</v>
      </c>
      <c r="D44" s="355">
        <f>'THC FGD'!$D$12</f>
        <v>0</v>
      </c>
      <c r="E44" s="355">
        <f>'THC FGD'!$E$12</f>
        <v>0</v>
      </c>
      <c r="F44" s="355">
        <f>'THC FGD'!$F$12</f>
        <v>0</v>
      </c>
      <c r="G44" s="355">
        <f>'THC FGD'!$G$12</f>
        <v>0</v>
      </c>
      <c r="H44" s="355">
        <f>'THC FGD'!$H$12</f>
        <v>0</v>
      </c>
      <c r="I44" s="355">
        <f>'THC FGD'!$I$12</f>
        <v>0</v>
      </c>
      <c r="J44" s="355">
        <f>'THC FGD'!$J$12</f>
        <v>0</v>
      </c>
      <c r="K44" s="355">
        <f>'THC FGD'!$K$12</f>
        <v>0</v>
      </c>
      <c r="L44" s="355">
        <f>'THC FGD'!$L$12</f>
        <v>0</v>
      </c>
      <c r="M44" s="357">
        <f>'THC FGD'!$M$12</f>
        <v>0</v>
      </c>
      <c r="N44" s="156"/>
    </row>
    <row r="45" spans="1:14" hidden="1" outlineLevel="1">
      <c r="B45" s="392" t="str">
        <f>'TTUHSC FGD'!$B$2</f>
        <v>Texas Tech University Health Sciences Center</v>
      </c>
      <c r="D45" s="355">
        <f>'TTUHSC FGD'!$D$12</f>
        <v>0</v>
      </c>
      <c r="E45" s="355">
        <f>'TTUHSC FGD'!$E$12</f>
        <v>0</v>
      </c>
      <c r="F45" s="355">
        <f>'TTUHSC FGD'!$F$12</f>
        <v>0</v>
      </c>
      <c r="G45" s="355">
        <f>'TTUHSC FGD'!$G$12</f>
        <v>0</v>
      </c>
      <c r="H45" s="355">
        <f>'TTUHSC FGD'!$H$12</f>
        <v>0</v>
      </c>
      <c r="I45" s="355">
        <f>'TTUHSC FGD'!$I$12</f>
        <v>0</v>
      </c>
      <c r="J45" s="355">
        <f>'TTUHSC FGD'!$J$12</f>
        <v>0</v>
      </c>
      <c r="K45" s="355">
        <f>'TTUHSC FGD'!$K$12</f>
        <v>0</v>
      </c>
      <c r="L45" s="355">
        <f>'TTUHSC FGD'!$L$12</f>
        <v>0</v>
      </c>
      <c r="M45" s="357">
        <f>'TTUHSC FGD'!$M$12</f>
        <v>0</v>
      </c>
      <c r="N45" s="156"/>
    </row>
    <row r="46" spans="1:14" hidden="1" outlineLevel="1">
      <c r="B46" s="392" t="str">
        <f>'TTUHSCEP FGD'!$B$2</f>
        <v>Texas Tech University Health Sciences Center at El Paso</v>
      </c>
      <c r="D46" s="355">
        <f>'TTUHSCEP FGD'!$D$12</f>
        <v>0</v>
      </c>
      <c r="E46" s="355">
        <f>'TTUHSCEP FGD'!$E$12</f>
        <v>0</v>
      </c>
      <c r="F46" s="355">
        <f>'TTUHSCEP FGD'!$F$12</f>
        <v>0</v>
      </c>
      <c r="G46" s="355">
        <f>'TTUHSCEP FGD'!$G$12</f>
        <v>0</v>
      </c>
      <c r="H46" s="355">
        <f>'TTUHSCEP FGD'!$H$12</f>
        <v>0</v>
      </c>
      <c r="I46" s="355">
        <f>'TTUHSCEP FGD'!$I$12</f>
        <v>0</v>
      </c>
      <c r="J46" s="355">
        <f>'TTUHSCEP FGD'!$J$12</f>
        <v>0</v>
      </c>
      <c r="K46" s="355">
        <f>'TTUHSCEP FGD'!$K$12</f>
        <v>0</v>
      </c>
      <c r="L46" s="355">
        <f>'TTUHSCEP FGD'!$L$12</f>
        <v>0</v>
      </c>
      <c r="M46" s="357">
        <f>'TTUHSCEP FGD'!$M$12</f>
        <v>0</v>
      </c>
      <c r="N46" s="156"/>
    </row>
    <row r="47" spans="1:14" hidden="1" outlineLevel="1">
      <c r="B47" s="392" t="str">
        <f>'UNTHSC FGD'!$B$2</f>
        <v>University of North Texas Health Science Center at Fort Worth</v>
      </c>
      <c r="D47" s="355">
        <f>'UNTHSC FGD'!$D$12</f>
        <v>0</v>
      </c>
      <c r="E47" s="355">
        <f>'UNTHSC FGD'!$E$12</f>
        <v>0</v>
      </c>
      <c r="F47" s="355">
        <f>'UNTHSC FGD'!$F$12</f>
        <v>0</v>
      </c>
      <c r="G47" s="355">
        <f>'UNTHSC FGD'!$G$12</f>
        <v>0</v>
      </c>
      <c r="H47" s="355">
        <f>'UNTHSC FGD'!$H$12</f>
        <v>0</v>
      </c>
      <c r="I47" s="355">
        <f>'UNTHSC FGD'!$I$12</f>
        <v>0</v>
      </c>
      <c r="J47" s="355">
        <f>'UNTHSC FGD'!$J$12</f>
        <v>0</v>
      </c>
      <c r="K47" s="355">
        <f>'UNTHSC FGD'!$K$12</f>
        <v>0</v>
      </c>
      <c r="L47" s="355">
        <f>'UNTHSC FGD'!$L$12</f>
        <v>0</v>
      </c>
      <c r="M47" s="357">
        <f>'UNTHSC FGD'!$M$12</f>
        <v>0</v>
      </c>
      <c r="N47" s="156"/>
    </row>
    <row r="48" spans="1:14" hidden="1">
      <c r="A48" s="147">
        <v>11</v>
      </c>
      <c r="B48" s="157" t="s">
        <v>1346</v>
      </c>
      <c r="C48" s="157"/>
      <c r="D48" s="355">
        <f t="shared" ref="D48:M48" si="2">SUM(D36:D47)</f>
        <v>0</v>
      </c>
      <c r="E48" s="355">
        <f t="shared" si="2"/>
        <v>0</v>
      </c>
      <c r="F48" s="355">
        <f t="shared" si="2"/>
        <v>0</v>
      </c>
      <c r="G48" s="355">
        <f t="shared" si="2"/>
        <v>0</v>
      </c>
      <c r="H48" s="355">
        <f t="shared" si="2"/>
        <v>0</v>
      </c>
      <c r="I48" s="355">
        <f t="shared" si="2"/>
        <v>0</v>
      </c>
      <c r="J48" s="355">
        <f t="shared" si="2"/>
        <v>0</v>
      </c>
      <c r="K48" s="355">
        <f t="shared" si="2"/>
        <v>0</v>
      </c>
      <c r="L48" s="355">
        <f t="shared" si="2"/>
        <v>0</v>
      </c>
      <c r="M48" s="357">
        <f t="shared" si="2"/>
        <v>0</v>
      </c>
    </row>
    <row r="49" spans="1:13" hidden="1" outlineLevel="1">
      <c r="B49" s="392" t="str">
        <f>'AUSM FGD'!$B$2</f>
        <v>The University of Texas at Austin Medical School (M)</v>
      </c>
      <c r="C49" s="157"/>
      <c r="D49" s="355">
        <f>'AUSM FGD'!$D$13</f>
        <v>0</v>
      </c>
      <c r="E49" s="355">
        <f>'AUSM FGD'!$E$13</f>
        <v>0</v>
      </c>
      <c r="F49" s="355">
        <f>'AUSM FGD'!$F$13</f>
        <v>0</v>
      </c>
      <c r="G49" s="355">
        <f>'AUSM FGD'!$G$13</f>
        <v>0</v>
      </c>
      <c r="H49" s="355">
        <f>'AUSM FGD'!$H$13</f>
        <v>0</v>
      </c>
      <c r="I49" s="355">
        <f>'AUSM FGD'!$I$13</f>
        <v>0</v>
      </c>
      <c r="J49" s="355">
        <f>'AUSM FGD'!$J$13</f>
        <v>0</v>
      </c>
      <c r="K49" s="355">
        <f>'AUSM FGD'!$K$13</f>
        <v>0</v>
      </c>
      <c r="L49" s="355">
        <f>'AUSM FGD'!$L$13</f>
        <v>0</v>
      </c>
      <c r="M49" s="357">
        <f>'AUSM FGD'!$M$13</f>
        <v>0</v>
      </c>
    </row>
    <row r="50" spans="1:13" hidden="1" outlineLevel="1">
      <c r="B50" s="392" t="str">
        <f>'HSH FGD'!$B$2</f>
        <v>The University of Texas Health Science Center at Houston</v>
      </c>
      <c r="C50" s="157"/>
      <c r="D50" s="355">
        <f>'HSH FGD'!$D$13</f>
        <v>0</v>
      </c>
      <c r="E50" s="355">
        <f>'HSH FGD'!$E$13</f>
        <v>0</v>
      </c>
      <c r="F50" s="355">
        <f>'HSH FGD'!$F$13</f>
        <v>0</v>
      </c>
      <c r="G50" s="355">
        <f>'HSH FGD'!$G$13</f>
        <v>0</v>
      </c>
      <c r="H50" s="355">
        <f>'HSH FGD'!$H$13</f>
        <v>0</v>
      </c>
      <c r="I50" s="355">
        <f>'HSH FGD'!$I$13</f>
        <v>0</v>
      </c>
      <c r="J50" s="355">
        <f>'HSH FGD'!$J$13</f>
        <v>0</v>
      </c>
      <c r="K50" s="355">
        <f>'HSH FGD'!$K$13</f>
        <v>0</v>
      </c>
      <c r="L50" s="355">
        <f>'HSH FGD'!$L$13</f>
        <v>0</v>
      </c>
      <c r="M50" s="357">
        <f>'HSH FGD'!$M$13</f>
        <v>0</v>
      </c>
    </row>
    <row r="51" spans="1:13" hidden="1" outlineLevel="1">
      <c r="B51" s="392" t="str">
        <f>'HSSA FGD'!$B$2</f>
        <v>The University of Texas Health Science Center at San Antonio</v>
      </c>
      <c r="C51" s="157"/>
      <c r="D51" s="355">
        <f>'HSSA FGD'!$D$13</f>
        <v>0</v>
      </c>
      <c r="E51" s="355">
        <f>'HSSA FGD'!$E$13</f>
        <v>0</v>
      </c>
      <c r="F51" s="355">
        <f>'HSSA FGD'!$F$13</f>
        <v>0</v>
      </c>
      <c r="G51" s="355">
        <f>'HSSA FGD'!$G$13</f>
        <v>0</v>
      </c>
      <c r="H51" s="355">
        <f>'HSSA FGD'!$H$13</f>
        <v>0</v>
      </c>
      <c r="I51" s="355">
        <f>'HSSA FGD'!$I$13</f>
        <v>0</v>
      </c>
      <c r="J51" s="355">
        <f>'HSSA FGD'!$J$13</f>
        <v>0</v>
      </c>
      <c r="K51" s="355">
        <f>'HSSA FGD'!$K$13</f>
        <v>0</v>
      </c>
      <c r="L51" s="355">
        <f>'HSSA FGD'!$L$13</f>
        <v>0</v>
      </c>
      <c r="M51" s="357">
        <f>'HSSA FGD'!$M$13</f>
        <v>0</v>
      </c>
    </row>
    <row r="52" spans="1:13" hidden="1" outlineLevel="1">
      <c r="B52" s="392" t="str">
        <f>'MBG FGD'!$B$2</f>
        <v>The University of Texas Medical Branch at Galveston</v>
      </c>
      <c r="C52" s="157"/>
      <c r="D52" s="355">
        <f>'MBG FGD'!$D$13</f>
        <v>0</v>
      </c>
      <c r="E52" s="355">
        <f>'MBG FGD'!$E$13</f>
        <v>0</v>
      </c>
      <c r="F52" s="355">
        <f>'MBG FGD'!$F$13</f>
        <v>0</v>
      </c>
      <c r="G52" s="355">
        <f>'MBG FGD'!$G$13</f>
        <v>0</v>
      </c>
      <c r="H52" s="355">
        <f>'MBG FGD'!$H$13</f>
        <v>0</v>
      </c>
      <c r="I52" s="355">
        <f>'MBG FGD'!$I$13</f>
        <v>0</v>
      </c>
      <c r="J52" s="355">
        <f>'MBG FGD'!$J$13</f>
        <v>0</v>
      </c>
      <c r="K52" s="355">
        <f>'MBG FGD'!$K$13</f>
        <v>0</v>
      </c>
      <c r="L52" s="355">
        <f>'MBG FGD'!$L$13</f>
        <v>0</v>
      </c>
      <c r="M52" s="357">
        <f>'MBG FGD'!$M$13</f>
        <v>0</v>
      </c>
    </row>
    <row r="53" spans="1:13" hidden="1" outlineLevel="1">
      <c r="B53" s="392" t="str">
        <f>'MDA FGD'!$B$2</f>
        <v>The University of Texas M.D. Anderson Cancer Center</v>
      </c>
      <c r="C53" s="157"/>
      <c r="D53" s="355">
        <f>'MDA FGD'!$D$13</f>
        <v>0</v>
      </c>
      <c r="E53" s="355">
        <f>'MDA FGD'!$E$13</f>
        <v>0</v>
      </c>
      <c r="F53" s="355">
        <f>'MDA FGD'!$F$13</f>
        <v>0</v>
      </c>
      <c r="G53" s="355">
        <f>'MDA FGD'!$G$13</f>
        <v>0</v>
      </c>
      <c r="H53" s="355">
        <f>'MDA FGD'!$H$13</f>
        <v>0</v>
      </c>
      <c r="I53" s="355">
        <f>'MDA FGD'!$I$13</f>
        <v>0</v>
      </c>
      <c r="J53" s="355">
        <f>'MDA FGD'!$J$13</f>
        <v>0</v>
      </c>
      <c r="K53" s="355">
        <f>'MDA FGD'!$K$13</f>
        <v>0</v>
      </c>
      <c r="L53" s="355">
        <f>'MDA FGD'!$L$13</f>
        <v>0</v>
      </c>
      <c r="M53" s="357">
        <f>'MDA FGD'!$M$13</f>
        <v>0</v>
      </c>
    </row>
    <row r="54" spans="1:13" hidden="1" outlineLevel="1">
      <c r="B54" s="392" t="str">
        <f>'RGVM FGD'!$B$2</f>
        <v>The University of Texas Rio Grande Valley Medical School (M)</v>
      </c>
      <c r="C54" s="157"/>
      <c r="D54" s="355">
        <f>'RGVM FGD'!$D$13</f>
        <v>0</v>
      </c>
      <c r="E54" s="355">
        <f>'RGVM FGD'!$E$13</f>
        <v>0</v>
      </c>
      <c r="F54" s="355">
        <f>'RGVM FGD'!$F$13</f>
        <v>0</v>
      </c>
      <c r="G54" s="355">
        <f>'RGVM FGD'!$G$13</f>
        <v>0</v>
      </c>
      <c r="H54" s="355">
        <f>'RGVM FGD'!$H$13</f>
        <v>0</v>
      </c>
      <c r="I54" s="355">
        <f>'RGVM FGD'!$I$13</f>
        <v>0</v>
      </c>
      <c r="J54" s="355">
        <f>'RGVM FGD'!$J$13</f>
        <v>0</v>
      </c>
      <c r="K54" s="355">
        <f>'RGVM FGD'!$K$13</f>
        <v>0</v>
      </c>
      <c r="L54" s="355">
        <f>'RGVM FGD'!$L$13</f>
        <v>0</v>
      </c>
      <c r="M54" s="357">
        <f>'RGVM FGD'!$M$13</f>
        <v>0</v>
      </c>
    </row>
    <row r="55" spans="1:13" hidden="1" outlineLevel="1">
      <c r="B55" s="392" t="str">
        <f>'SWM FGD'!$B$2</f>
        <v>The University of Texas Southwestern Medical Center</v>
      </c>
      <c r="C55" s="157"/>
      <c r="D55" s="355">
        <f>'SWM FGD'!$D$13</f>
        <v>0</v>
      </c>
      <c r="E55" s="355">
        <f>'SWM FGD'!$E$13</f>
        <v>0</v>
      </c>
      <c r="F55" s="355">
        <f>'SWM FGD'!$F$13</f>
        <v>0</v>
      </c>
      <c r="G55" s="355">
        <f>'SWM FGD'!$G$13</f>
        <v>0</v>
      </c>
      <c r="H55" s="355">
        <f>'SWM FGD'!$H$13</f>
        <v>0</v>
      </c>
      <c r="I55" s="355">
        <f>'SWM FGD'!$I$13</f>
        <v>0</v>
      </c>
      <c r="J55" s="355">
        <f>'SWM FGD'!$J$13</f>
        <v>0</v>
      </c>
      <c r="K55" s="355">
        <f>'SWM FGD'!$K$13</f>
        <v>0</v>
      </c>
      <c r="L55" s="355">
        <f>'SWM FGD'!$L$13</f>
        <v>0</v>
      </c>
      <c r="M55" s="357">
        <f>'SWM FGD'!$M$13</f>
        <v>0</v>
      </c>
    </row>
    <row r="56" spans="1:13" hidden="1" outlineLevel="1">
      <c r="B56" s="392" t="str">
        <f>'TAMHSC FGD'!$B$2</f>
        <v>Texas A&amp;M University System Health Science Center</v>
      </c>
      <c r="C56" s="157"/>
      <c r="D56" s="355">
        <f>'TAMHSC FGD'!$D$13</f>
        <v>0</v>
      </c>
      <c r="E56" s="355">
        <f>'TAMHSC FGD'!$E$13</f>
        <v>0</v>
      </c>
      <c r="F56" s="355">
        <f>'TAMHSC FGD'!$F$13</f>
        <v>0</v>
      </c>
      <c r="G56" s="355">
        <f>'TAMHSC FGD'!$G$13</f>
        <v>0</v>
      </c>
      <c r="H56" s="355">
        <f>'TAMHSC FGD'!$H$13</f>
        <v>0</v>
      </c>
      <c r="I56" s="355">
        <f>'TAMHSC FGD'!$I$13</f>
        <v>0</v>
      </c>
      <c r="J56" s="355">
        <f>'TAMHSC FGD'!$J$13</f>
        <v>0</v>
      </c>
      <c r="K56" s="355">
        <f>'TAMHSC FGD'!$K$13</f>
        <v>0</v>
      </c>
      <c r="L56" s="355">
        <f>'TAMHSC FGD'!$L$13</f>
        <v>0</v>
      </c>
      <c r="M56" s="357">
        <f>'TAMHSC FGD'!$M$13</f>
        <v>0</v>
      </c>
    </row>
    <row r="57" spans="1:13" hidden="1" outlineLevel="1">
      <c r="B57" s="392" t="str">
        <f>'THC FGD'!$B$2</f>
        <v>The University of Texas Health Science Center at Tyler</v>
      </c>
      <c r="C57" s="157"/>
      <c r="D57" s="355">
        <f>'THC FGD'!$D$13</f>
        <v>0</v>
      </c>
      <c r="E57" s="355">
        <f>'THC FGD'!$E$13</f>
        <v>0</v>
      </c>
      <c r="F57" s="355">
        <f>'THC FGD'!$F$13</f>
        <v>0</v>
      </c>
      <c r="G57" s="355">
        <f>'THC FGD'!$G$13</f>
        <v>0</v>
      </c>
      <c r="H57" s="355">
        <f>'THC FGD'!$H$13</f>
        <v>0</v>
      </c>
      <c r="I57" s="355">
        <f>'THC FGD'!$I$13</f>
        <v>0</v>
      </c>
      <c r="J57" s="355">
        <f>'THC FGD'!$J$13</f>
        <v>0</v>
      </c>
      <c r="K57" s="355">
        <f>'THC FGD'!$K$13</f>
        <v>0</v>
      </c>
      <c r="L57" s="355">
        <f>'THC FGD'!$L$13</f>
        <v>0</v>
      </c>
      <c r="M57" s="357">
        <f>'THC FGD'!$M$13</f>
        <v>0</v>
      </c>
    </row>
    <row r="58" spans="1:13" hidden="1" outlineLevel="1">
      <c r="B58" s="392" t="str">
        <f>'TTUHSC FGD'!$B$2</f>
        <v>Texas Tech University Health Sciences Center</v>
      </c>
      <c r="C58" s="157"/>
      <c r="D58" s="355">
        <f>'TTUHSC FGD'!$D$13</f>
        <v>23372396</v>
      </c>
      <c r="E58" s="355">
        <f>'TTUHSC FGD'!$E$13</f>
        <v>0</v>
      </c>
      <c r="F58" s="355">
        <f>'TTUHSC FGD'!$F$13</f>
        <v>0</v>
      </c>
      <c r="G58" s="355">
        <f>'TTUHSC FGD'!$G$13</f>
        <v>0</v>
      </c>
      <c r="H58" s="355">
        <f>'TTUHSC FGD'!$H$13</f>
        <v>0</v>
      </c>
      <c r="I58" s="355">
        <f>'TTUHSC FGD'!$I$13</f>
        <v>0</v>
      </c>
      <c r="J58" s="355">
        <f>'TTUHSC FGD'!$J$13</f>
        <v>0</v>
      </c>
      <c r="K58" s="355">
        <f>'TTUHSC FGD'!$K$13</f>
        <v>0</v>
      </c>
      <c r="L58" s="355">
        <f>'TTUHSC FGD'!$L$13</f>
        <v>0</v>
      </c>
      <c r="M58" s="357">
        <f>'TTUHSC FGD'!$M$13</f>
        <v>23372396</v>
      </c>
    </row>
    <row r="59" spans="1:13" hidden="1" outlineLevel="1">
      <c r="B59" s="392" t="str">
        <f>'TTUHSCEP FGD'!$B$2</f>
        <v>Texas Tech University Health Sciences Center at El Paso</v>
      </c>
      <c r="C59" s="157"/>
      <c r="D59" s="355">
        <f>'TTUHSCEP FGD'!$D$13</f>
        <v>6234075</v>
      </c>
      <c r="E59" s="355">
        <f>'TTUHSCEP FGD'!$E$13</f>
        <v>0</v>
      </c>
      <c r="F59" s="355">
        <f>'TTUHSCEP FGD'!$F$13</f>
        <v>0</v>
      </c>
      <c r="G59" s="355">
        <f>'TTUHSCEP FGD'!$G$13</f>
        <v>0</v>
      </c>
      <c r="H59" s="355">
        <f>'TTUHSCEP FGD'!$H$13</f>
        <v>0</v>
      </c>
      <c r="I59" s="355">
        <f>'TTUHSCEP FGD'!$I$13</f>
        <v>0</v>
      </c>
      <c r="J59" s="355">
        <f>'TTUHSCEP FGD'!$J$13</f>
        <v>0</v>
      </c>
      <c r="K59" s="355">
        <f>'TTUHSCEP FGD'!$K$13</f>
        <v>0</v>
      </c>
      <c r="L59" s="355">
        <f>'TTUHSCEP FGD'!$L$13</f>
        <v>0</v>
      </c>
      <c r="M59" s="357">
        <f>'TTUHSCEP FGD'!$M$13</f>
        <v>6234075</v>
      </c>
    </row>
    <row r="60" spans="1:13" hidden="1" outlineLevel="1">
      <c r="B60" s="392" t="str">
        <f>'UNTHSC FGD'!$B$2</f>
        <v>University of North Texas Health Science Center at Fort Worth</v>
      </c>
      <c r="C60" s="157"/>
      <c r="D60" s="355">
        <f>'UNTHSC FGD'!$D$13</f>
        <v>17091856</v>
      </c>
      <c r="E60" s="355">
        <f>'UNTHSC FGD'!$E$13</f>
        <v>0</v>
      </c>
      <c r="F60" s="355">
        <f>'UNTHSC FGD'!$F$13</f>
        <v>0</v>
      </c>
      <c r="G60" s="355">
        <f>'UNTHSC FGD'!$G$13</f>
        <v>0</v>
      </c>
      <c r="H60" s="355">
        <f>'UNTHSC FGD'!$H$13</f>
        <v>0</v>
      </c>
      <c r="I60" s="355">
        <f>'UNTHSC FGD'!$I$13</f>
        <v>0</v>
      </c>
      <c r="J60" s="355">
        <f>'UNTHSC FGD'!$J$13</f>
        <v>0</v>
      </c>
      <c r="K60" s="355">
        <f>'UNTHSC FGD'!$K$13</f>
        <v>0</v>
      </c>
      <c r="L60" s="355">
        <f>'UNTHSC FGD'!$L$13</f>
        <v>0</v>
      </c>
      <c r="M60" s="357">
        <f>'UNTHSC FGD'!$M$13</f>
        <v>17091856</v>
      </c>
    </row>
    <row r="61" spans="1:13" collapsed="1">
      <c r="A61" s="147">
        <v>12</v>
      </c>
      <c r="B61" s="149" t="s">
        <v>1298</v>
      </c>
      <c r="D61" s="355">
        <f t="shared" ref="D61:M61" si="3">SUM(D49:D60)</f>
        <v>46698327</v>
      </c>
      <c r="E61" s="355">
        <f t="shared" si="3"/>
        <v>0</v>
      </c>
      <c r="F61" s="355">
        <f t="shared" si="3"/>
        <v>0</v>
      </c>
      <c r="G61" s="355">
        <f t="shared" si="3"/>
        <v>0</v>
      </c>
      <c r="H61" s="355">
        <f t="shared" si="3"/>
        <v>0</v>
      </c>
      <c r="I61" s="355">
        <f t="shared" si="3"/>
        <v>0</v>
      </c>
      <c r="J61" s="355">
        <f t="shared" si="3"/>
        <v>0</v>
      </c>
      <c r="K61" s="355">
        <f t="shared" si="3"/>
        <v>0</v>
      </c>
      <c r="L61" s="355">
        <f t="shared" si="3"/>
        <v>0</v>
      </c>
      <c r="M61" s="357">
        <f t="shared" si="3"/>
        <v>46698327</v>
      </c>
    </row>
    <row r="62" spans="1:13" hidden="1" outlineLevel="1">
      <c r="B62" s="392" t="str">
        <f>'AUSM FGD'!$B$2</f>
        <v>The University of Texas at Austin Medical School (M)</v>
      </c>
      <c r="D62" s="355">
        <f>'AUSM FGD'!$D$14</f>
        <v>24977265</v>
      </c>
      <c r="E62" s="355">
        <f>'AUSM FGD'!$E$14</f>
        <v>0</v>
      </c>
      <c r="F62" s="355">
        <f>'AUSM FGD'!$F$14</f>
        <v>0</v>
      </c>
      <c r="G62" s="355">
        <f>'AUSM FGD'!$G$14</f>
        <v>0</v>
      </c>
      <c r="H62" s="355">
        <f>'AUSM FGD'!$H$14</f>
        <v>0</v>
      </c>
      <c r="I62" s="355">
        <f>'AUSM FGD'!$I$14</f>
        <v>0</v>
      </c>
      <c r="J62" s="355">
        <f>'AUSM FGD'!$J$14</f>
        <v>0</v>
      </c>
      <c r="K62" s="355">
        <f>'AUSM FGD'!$K$14</f>
        <v>0</v>
      </c>
      <c r="L62" s="355">
        <f>'AUSM FGD'!$L$14</f>
        <v>0</v>
      </c>
      <c r="M62" s="357">
        <f>'AUSM FGD'!$M$14</f>
        <v>24977265</v>
      </c>
    </row>
    <row r="63" spans="1:13" hidden="1" outlineLevel="1">
      <c r="B63" s="392" t="str">
        <f>'HSH FGD'!$B$2</f>
        <v>The University of Texas Health Science Center at Houston</v>
      </c>
      <c r="D63" s="355">
        <f>'HSH FGD'!$D$14</f>
        <v>0</v>
      </c>
      <c r="E63" s="355">
        <f>'HSH FGD'!$E$14</f>
        <v>0</v>
      </c>
      <c r="F63" s="355">
        <f>'HSH FGD'!$F$14</f>
        <v>0</v>
      </c>
      <c r="G63" s="355">
        <f>'HSH FGD'!$G$14</f>
        <v>0</v>
      </c>
      <c r="H63" s="355">
        <f>'HSH FGD'!$H$14</f>
        <v>0</v>
      </c>
      <c r="I63" s="355">
        <f>'HSH FGD'!$I$14</f>
        <v>0</v>
      </c>
      <c r="J63" s="355">
        <f>'HSH FGD'!$J$14</f>
        <v>0</v>
      </c>
      <c r="K63" s="355">
        <f>'HSH FGD'!$K$14</f>
        <v>0</v>
      </c>
      <c r="L63" s="355">
        <f>'HSH FGD'!$L$14</f>
        <v>0</v>
      </c>
      <c r="M63" s="357">
        <f>'HSH FGD'!$M$14</f>
        <v>0</v>
      </c>
    </row>
    <row r="64" spans="1:13" hidden="1" outlineLevel="1">
      <c r="B64" s="392" t="str">
        <f>'HSSA FGD'!$B$2</f>
        <v>The University of Texas Health Science Center at San Antonio</v>
      </c>
      <c r="D64" s="355">
        <f>'HSSA FGD'!$D$14</f>
        <v>0</v>
      </c>
      <c r="E64" s="355">
        <f>'HSSA FGD'!$E$14</f>
        <v>0</v>
      </c>
      <c r="F64" s="355">
        <f>'HSSA FGD'!$F$14</f>
        <v>0</v>
      </c>
      <c r="G64" s="355">
        <f>'HSSA FGD'!$G$14</f>
        <v>0</v>
      </c>
      <c r="H64" s="355">
        <f>'HSSA FGD'!$H$14</f>
        <v>0</v>
      </c>
      <c r="I64" s="355">
        <f>'HSSA FGD'!$I$14</f>
        <v>0</v>
      </c>
      <c r="J64" s="355">
        <f>'HSSA FGD'!$J$14</f>
        <v>0</v>
      </c>
      <c r="K64" s="355">
        <f>'HSSA FGD'!$K$14</f>
        <v>0</v>
      </c>
      <c r="L64" s="355">
        <f>'HSSA FGD'!$L$14</f>
        <v>0</v>
      </c>
      <c r="M64" s="357">
        <f>'HSSA FGD'!$M$14</f>
        <v>0</v>
      </c>
    </row>
    <row r="65" spans="1:13" hidden="1" outlineLevel="1">
      <c r="B65" s="392" t="str">
        <f>'MBG FGD'!$B$2</f>
        <v>The University of Texas Medical Branch at Galveston</v>
      </c>
      <c r="D65" s="355">
        <f>'MBG FGD'!$D$14</f>
        <v>0</v>
      </c>
      <c r="E65" s="355">
        <f>'MBG FGD'!$E$14</f>
        <v>0</v>
      </c>
      <c r="F65" s="355">
        <f>'MBG FGD'!$F$14</f>
        <v>0</v>
      </c>
      <c r="G65" s="355">
        <f>'MBG FGD'!$G$14</f>
        <v>0</v>
      </c>
      <c r="H65" s="355">
        <f>'MBG FGD'!$H$14</f>
        <v>0</v>
      </c>
      <c r="I65" s="355">
        <f>'MBG FGD'!$I$14</f>
        <v>0</v>
      </c>
      <c r="J65" s="355">
        <f>'MBG FGD'!$J$14</f>
        <v>0</v>
      </c>
      <c r="K65" s="355">
        <f>'MBG FGD'!$K$14</f>
        <v>0</v>
      </c>
      <c r="L65" s="355">
        <f>'MBG FGD'!$L$14</f>
        <v>0</v>
      </c>
      <c r="M65" s="357">
        <f>'MBG FGD'!$M$14</f>
        <v>0</v>
      </c>
    </row>
    <row r="66" spans="1:13" hidden="1" outlineLevel="1">
      <c r="B66" s="392" t="str">
        <f>'MDA FGD'!$B$2</f>
        <v>The University of Texas M.D. Anderson Cancer Center</v>
      </c>
      <c r="D66" s="355">
        <f>'MDA FGD'!$D$14</f>
        <v>0</v>
      </c>
      <c r="E66" s="355">
        <f>'MDA FGD'!$E$14</f>
        <v>0</v>
      </c>
      <c r="F66" s="355">
        <f>'MDA FGD'!$F$14</f>
        <v>0</v>
      </c>
      <c r="G66" s="355">
        <f>'MDA FGD'!$G$14</f>
        <v>0</v>
      </c>
      <c r="H66" s="355">
        <f>'MDA FGD'!$H$14</f>
        <v>0</v>
      </c>
      <c r="I66" s="355">
        <f>'MDA FGD'!$I$14</f>
        <v>0</v>
      </c>
      <c r="J66" s="355">
        <f>'MDA FGD'!$J$14</f>
        <v>0</v>
      </c>
      <c r="K66" s="355">
        <f>'MDA FGD'!$K$14</f>
        <v>0</v>
      </c>
      <c r="L66" s="355">
        <f>'MDA FGD'!$L$14</f>
        <v>0</v>
      </c>
      <c r="M66" s="357">
        <f>'MDA FGD'!$M$14</f>
        <v>0</v>
      </c>
    </row>
    <row r="67" spans="1:13" hidden="1" outlineLevel="1">
      <c r="B67" s="392" t="str">
        <f>'RGVM FGD'!$B$2</f>
        <v>The University of Texas Rio Grande Valley Medical School (M)</v>
      </c>
      <c r="D67" s="355">
        <f>'RGVM FGD'!$D$14</f>
        <v>0</v>
      </c>
      <c r="E67" s="355">
        <f>'RGVM FGD'!$E$14</f>
        <v>0</v>
      </c>
      <c r="F67" s="355">
        <f>'RGVM FGD'!$F$14</f>
        <v>0</v>
      </c>
      <c r="G67" s="355">
        <f>'RGVM FGD'!$G$14</f>
        <v>0</v>
      </c>
      <c r="H67" s="355">
        <f>'RGVM FGD'!$H$14</f>
        <v>0</v>
      </c>
      <c r="I67" s="355">
        <f>'RGVM FGD'!$I$14</f>
        <v>0</v>
      </c>
      <c r="J67" s="355">
        <f>'RGVM FGD'!$J$14</f>
        <v>0</v>
      </c>
      <c r="K67" s="355">
        <f>'RGVM FGD'!$K$14</f>
        <v>0</v>
      </c>
      <c r="L67" s="355">
        <f>'RGVM FGD'!$L$14</f>
        <v>0</v>
      </c>
      <c r="M67" s="357">
        <f>'RGVM FGD'!$M$14</f>
        <v>0</v>
      </c>
    </row>
    <row r="68" spans="1:13" hidden="1" outlineLevel="1">
      <c r="B68" s="392" t="str">
        <f>'SWM FGD'!$B$2</f>
        <v>The University of Texas Southwestern Medical Center</v>
      </c>
      <c r="D68" s="355">
        <f>'SWM FGD'!$D$14</f>
        <v>0</v>
      </c>
      <c r="E68" s="355">
        <f>'SWM FGD'!$E$14</f>
        <v>0</v>
      </c>
      <c r="F68" s="355">
        <f>'SWM FGD'!$F$14</f>
        <v>0</v>
      </c>
      <c r="G68" s="355">
        <f>'SWM FGD'!$G$14</f>
        <v>0</v>
      </c>
      <c r="H68" s="355">
        <f>'SWM FGD'!$H$14</f>
        <v>0</v>
      </c>
      <c r="I68" s="355">
        <f>'SWM FGD'!$I$14</f>
        <v>0</v>
      </c>
      <c r="J68" s="355">
        <f>'SWM FGD'!$J$14</f>
        <v>0</v>
      </c>
      <c r="K68" s="355">
        <f>'SWM FGD'!$K$14</f>
        <v>0</v>
      </c>
      <c r="L68" s="355">
        <f>'SWM FGD'!$L$14</f>
        <v>0</v>
      </c>
      <c r="M68" s="357">
        <f>'SWM FGD'!$M$14</f>
        <v>0</v>
      </c>
    </row>
    <row r="69" spans="1:13" hidden="1" outlineLevel="1">
      <c r="B69" s="392" t="str">
        <f>'TAMHSC FGD'!$B$2</f>
        <v>Texas A&amp;M University System Health Science Center</v>
      </c>
      <c r="D69" s="355">
        <f>'TAMHSC FGD'!$D$14</f>
        <v>0</v>
      </c>
      <c r="E69" s="355">
        <f>'TAMHSC FGD'!$E$14</f>
        <v>18599332</v>
      </c>
      <c r="F69" s="355">
        <f>'TAMHSC FGD'!$F$14</f>
        <v>0</v>
      </c>
      <c r="G69" s="355">
        <f>'TAMHSC FGD'!$G$14</f>
        <v>0</v>
      </c>
      <c r="H69" s="355">
        <f>'TAMHSC FGD'!$H$14</f>
        <v>0</v>
      </c>
      <c r="I69" s="355">
        <f>'TAMHSC FGD'!$I$14</f>
        <v>0</v>
      </c>
      <c r="J69" s="355">
        <f>'TAMHSC FGD'!$J$14</f>
        <v>0</v>
      </c>
      <c r="K69" s="355">
        <f>'TAMHSC FGD'!$K$14</f>
        <v>0</v>
      </c>
      <c r="L69" s="355">
        <f>'TAMHSC FGD'!$L$14</f>
        <v>0</v>
      </c>
      <c r="M69" s="357">
        <f>'TAMHSC FGD'!$M$14</f>
        <v>18599332</v>
      </c>
    </row>
    <row r="70" spans="1:13" hidden="1" outlineLevel="1">
      <c r="B70" s="392" t="str">
        <f>'THC FGD'!$B$2</f>
        <v>The University of Texas Health Science Center at Tyler</v>
      </c>
      <c r="D70" s="355">
        <f>'THC FGD'!$D$14</f>
        <v>0</v>
      </c>
      <c r="E70" s="355">
        <f>'THC FGD'!$E$14</f>
        <v>0</v>
      </c>
      <c r="F70" s="355">
        <f>'THC FGD'!$F$14</f>
        <v>0</v>
      </c>
      <c r="G70" s="355">
        <f>'THC FGD'!$G$14</f>
        <v>0</v>
      </c>
      <c r="H70" s="355">
        <f>'THC FGD'!$H$14</f>
        <v>0</v>
      </c>
      <c r="I70" s="355">
        <f>'THC FGD'!$I$14</f>
        <v>0</v>
      </c>
      <c r="J70" s="355">
        <f>'THC FGD'!$J$14</f>
        <v>0</v>
      </c>
      <c r="K70" s="355">
        <f>'THC FGD'!$K$14</f>
        <v>0</v>
      </c>
      <c r="L70" s="355">
        <f>'THC FGD'!$L$14</f>
        <v>0</v>
      </c>
      <c r="M70" s="357">
        <f>'THC FGD'!$M$14</f>
        <v>0</v>
      </c>
    </row>
    <row r="71" spans="1:13" hidden="1" outlineLevel="1">
      <c r="B71" s="392" t="str">
        <f>'TTUHSC FGD'!$B$2</f>
        <v>Texas Tech University Health Sciences Center</v>
      </c>
      <c r="D71" s="355">
        <f>'TTUHSC FGD'!$D$14</f>
        <v>0</v>
      </c>
      <c r="E71" s="355">
        <f>'TTUHSC FGD'!$E$14</f>
        <v>0</v>
      </c>
      <c r="F71" s="355">
        <f>'TTUHSC FGD'!$F$14</f>
        <v>0</v>
      </c>
      <c r="G71" s="355">
        <f>'TTUHSC FGD'!$G$14</f>
        <v>0</v>
      </c>
      <c r="H71" s="355">
        <f>'TTUHSC FGD'!$H$14</f>
        <v>0</v>
      </c>
      <c r="I71" s="355">
        <f>'TTUHSC FGD'!$I$14</f>
        <v>0</v>
      </c>
      <c r="J71" s="355">
        <f>'TTUHSC FGD'!$J$14</f>
        <v>0</v>
      </c>
      <c r="K71" s="355">
        <f>'TTUHSC FGD'!$K$14</f>
        <v>0</v>
      </c>
      <c r="L71" s="355">
        <f>'TTUHSC FGD'!$L$14</f>
        <v>0</v>
      </c>
      <c r="M71" s="357">
        <f>'TTUHSC FGD'!$M$14</f>
        <v>0</v>
      </c>
    </row>
    <row r="72" spans="1:13" hidden="1" outlineLevel="1">
      <c r="B72" s="392" t="str">
        <f>'TTUHSCEP FGD'!$B$2</f>
        <v>Texas Tech University Health Sciences Center at El Paso</v>
      </c>
      <c r="D72" s="355">
        <f>'TTUHSCEP FGD'!$D$14</f>
        <v>0</v>
      </c>
      <c r="E72" s="355">
        <f>'TTUHSCEP FGD'!$E$14</f>
        <v>0</v>
      </c>
      <c r="F72" s="355">
        <f>'TTUHSCEP FGD'!$F$14</f>
        <v>0</v>
      </c>
      <c r="G72" s="355">
        <f>'TTUHSCEP FGD'!$G$14</f>
        <v>0</v>
      </c>
      <c r="H72" s="355">
        <f>'TTUHSCEP FGD'!$H$14</f>
        <v>0</v>
      </c>
      <c r="I72" s="355">
        <f>'TTUHSCEP FGD'!$I$14</f>
        <v>0</v>
      </c>
      <c r="J72" s="355">
        <f>'TTUHSCEP FGD'!$J$14</f>
        <v>0</v>
      </c>
      <c r="K72" s="355">
        <f>'TTUHSCEP FGD'!$K$14</f>
        <v>0</v>
      </c>
      <c r="L72" s="355">
        <f>'TTUHSCEP FGD'!$L$14</f>
        <v>0</v>
      </c>
      <c r="M72" s="357">
        <f>'TTUHSCEP FGD'!$M$14</f>
        <v>0</v>
      </c>
    </row>
    <row r="73" spans="1:13" hidden="1" outlineLevel="1">
      <c r="B73" s="392" t="str">
        <f>'UNTHSC FGD'!$B$2</f>
        <v>University of North Texas Health Science Center at Fort Worth</v>
      </c>
      <c r="D73" s="355">
        <f>'UNTHSC FGD'!$D$14</f>
        <v>0</v>
      </c>
      <c r="E73" s="355">
        <f>'UNTHSC FGD'!$E$14</f>
        <v>0</v>
      </c>
      <c r="F73" s="355">
        <f>'UNTHSC FGD'!$F$14</f>
        <v>0</v>
      </c>
      <c r="G73" s="355">
        <f>'UNTHSC FGD'!$G$14</f>
        <v>0</v>
      </c>
      <c r="H73" s="355">
        <f>'UNTHSC FGD'!$H$14</f>
        <v>0</v>
      </c>
      <c r="I73" s="355">
        <f>'UNTHSC FGD'!$I$14</f>
        <v>0</v>
      </c>
      <c r="J73" s="355">
        <f>'UNTHSC FGD'!$J$14</f>
        <v>0</v>
      </c>
      <c r="K73" s="355">
        <f>'UNTHSC FGD'!$K$14</f>
        <v>0</v>
      </c>
      <c r="L73" s="355">
        <f>'UNTHSC FGD'!$L$14</f>
        <v>0</v>
      </c>
      <c r="M73" s="357">
        <f>'UNTHSC FGD'!$M$14</f>
        <v>0</v>
      </c>
    </row>
    <row r="74" spans="1:13" collapsed="1">
      <c r="A74" s="147">
        <v>13</v>
      </c>
      <c r="B74" s="149" t="s">
        <v>46</v>
      </c>
      <c r="D74" s="355">
        <f t="shared" ref="D74:M74" si="4">SUM(D62:D73)</f>
        <v>24977265</v>
      </c>
      <c r="E74" s="355">
        <f t="shared" si="4"/>
        <v>18599332</v>
      </c>
      <c r="F74" s="355">
        <f t="shared" si="4"/>
        <v>0</v>
      </c>
      <c r="G74" s="355">
        <f t="shared" si="4"/>
        <v>0</v>
      </c>
      <c r="H74" s="355">
        <f t="shared" si="4"/>
        <v>0</v>
      </c>
      <c r="I74" s="355">
        <f t="shared" si="4"/>
        <v>0</v>
      </c>
      <c r="J74" s="355">
        <f t="shared" si="4"/>
        <v>0</v>
      </c>
      <c r="K74" s="355">
        <f t="shared" si="4"/>
        <v>0</v>
      </c>
      <c r="L74" s="355">
        <f t="shared" si="4"/>
        <v>0</v>
      </c>
      <c r="M74" s="357">
        <f t="shared" si="4"/>
        <v>43576597</v>
      </c>
    </row>
    <row r="75" spans="1:13" hidden="1" outlineLevel="1">
      <c r="B75" s="392" t="str">
        <f>'AUSM FGD'!$B$2</f>
        <v>The University of Texas at Austin Medical School (M)</v>
      </c>
      <c r="D75" s="355">
        <f>'AUSM FGD'!$D$15</f>
        <v>31048608</v>
      </c>
      <c r="E75" s="355">
        <f>'AUSM FGD'!$E$15</f>
        <v>1430606</v>
      </c>
      <c r="F75" s="355">
        <f>'AUSM FGD'!$F$15</f>
        <v>0</v>
      </c>
      <c r="G75" s="355">
        <f>'AUSM FGD'!$G$15</f>
        <v>1256657</v>
      </c>
      <c r="H75" s="355">
        <f>'AUSM FGD'!$H$15</f>
        <v>0</v>
      </c>
      <c r="I75" s="355">
        <f>'AUSM FGD'!$I$15</f>
        <v>0</v>
      </c>
      <c r="J75" s="355">
        <f>'AUSM FGD'!$J$15</f>
        <v>0</v>
      </c>
      <c r="K75" s="355">
        <f>'AUSM FGD'!$K$15</f>
        <v>0</v>
      </c>
      <c r="L75" s="355">
        <f>'AUSM FGD'!$L$15</f>
        <v>0</v>
      </c>
      <c r="M75" s="357">
        <f>'AUSM FGD'!$M$15</f>
        <v>33735871</v>
      </c>
    </row>
    <row r="76" spans="1:13" hidden="1" outlineLevel="1">
      <c r="B76" s="392" t="str">
        <f>'HSH FGD'!$B$2</f>
        <v>The University of Texas Health Science Center at Houston</v>
      </c>
      <c r="D76" s="355">
        <f>'HSH FGD'!$D$15</f>
        <v>220491019</v>
      </c>
      <c r="E76" s="355">
        <f>'HSH FGD'!$E$15</f>
        <v>365243</v>
      </c>
      <c r="F76" s="355">
        <f>'HSH FGD'!$F$15</f>
        <v>0</v>
      </c>
      <c r="G76" s="355">
        <f>'HSH FGD'!$G$15</f>
        <v>12757514</v>
      </c>
      <c r="H76" s="355">
        <f>'HSH FGD'!$H$15</f>
        <v>0</v>
      </c>
      <c r="I76" s="355">
        <f>'HSH FGD'!$I$15</f>
        <v>0</v>
      </c>
      <c r="J76" s="355">
        <f>'HSH FGD'!$J$15</f>
        <v>0</v>
      </c>
      <c r="K76" s="355">
        <f>'HSH FGD'!$K$15</f>
        <v>0</v>
      </c>
      <c r="L76" s="355">
        <f>'HSH FGD'!$L$15</f>
        <v>0</v>
      </c>
      <c r="M76" s="357">
        <f>'HSH FGD'!$M$15</f>
        <v>233613776</v>
      </c>
    </row>
    <row r="77" spans="1:13" hidden="1" outlineLevel="1">
      <c r="B77" s="392" t="str">
        <f>'HSSA FGD'!$B$2</f>
        <v>The University of Texas Health Science Center at San Antonio</v>
      </c>
      <c r="D77" s="355">
        <f>'HSSA FGD'!$D$15</f>
        <v>171234257</v>
      </c>
      <c r="E77" s="355">
        <f>'HSSA FGD'!$E$15</f>
        <v>955352</v>
      </c>
      <c r="F77" s="355">
        <f>'HSSA FGD'!$F$15</f>
        <v>0</v>
      </c>
      <c r="G77" s="355">
        <f>'HSSA FGD'!$G$15</f>
        <v>11986918</v>
      </c>
      <c r="H77" s="355">
        <f>'HSSA FGD'!$H$15</f>
        <v>0</v>
      </c>
      <c r="I77" s="355">
        <f>'HSSA FGD'!$I$15</f>
        <v>0</v>
      </c>
      <c r="J77" s="355">
        <f>'HSSA FGD'!$J$15</f>
        <v>0</v>
      </c>
      <c r="K77" s="355">
        <f>'HSSA FGD'!$K$15</f>
        <v>0</v>
      </c>
      <c r="L77" s="355">
        <f>'HSSA FGD'!$L$15</f>
        <v>0</v>
      </c>
      <c r="M77" s="357">
        <f>'HSSA FGD'!$M$15</f>
        <v>184176527</v>
      </c>
    </row>
    <row r="78" spans="1:13" hidden="1" outlineLevel="1">
      <c r="B78" s="392" t="str">
        <f>'MBG FGD'!$B$2</f>
        <v>The University of Texas Medical Branch at Galveston</v>
      </c>
      <c r="D78" s="355">
        <f>'MBG FGD'!$D$15</f>
        <v>369465210</v>
      </c>
      <c r="E78" s="355">
        <f>'MBG FGD'!$E$15</f>
        <v>408593</v>
      </c>
      <c r="F78" s="355">
        <f>'MBG FGD'!$F$15</f>
        <v>0</v>
      </c>
      <c r="G78" s="355">
        <f>'MBG FGD'!$G$15</f>
        <v>10509297</v>
      </c>
      <c r="H78" s="355">
        <f>'MBG FGD'!$H$15</f>
        <v>0</v>
      </c>
      <c r="I78" s="355">
        <f>'MBG FGD'!$I$15</f>
        <v>0</v>
      </c>
      <c r="J78" s="355">
        <f>'MBG FGD'!$J$15</f>
        <v>0</v>
      </c>
      <c r="K78" s="355">
        <f>'MBG FGD'!$K$15</f>
        <v>0</v>
      </c>
      <c r="L78" s="355">
        <f>'MBG FGD'!$L$15</f>
        <v>0</v>
      </c>
      <c r="M78" s="357">
        <f>'MBG FGD'!$M$15</f>
        <v>380383100</v>
      </c>
    </row>
    <row r="79" spans="1:13" hidden="1" outlineLevel="1">
      <c r="B79" s="392" t="str">
        <f>'MDA FGD'!$B$2</f>
        <v>The University of Texas M.D. Anderson Cancer Center</v>
      </c>
      <c r="D79" s="355">
        <f>'MDA FGD'!$D$15</f>
        <v>210227976</v>
      </c>
      <c r="E79" s="355">
        <f>'MDA FGD'!$E$15</f>
        <v>2309388</v>
      </c>
      <c r="F79" s="355">
        <f>'MDA FGD'!$F$15</f>
        <v>0</v>
      </c>
      <c r="G79" s="355">
        <f>'MDA FGD'!$G$15</f>
        <v>45959916</v>
      </c>
      <c r="H79" s="355">
        <f>'MDA FGD'!$H$15</f>
        <v>0</v>
      </c>
      <c r="I79" s="355">
        <f>'MDA FGD'!$I$15</f>
        <v>0</v>
      </c>
      <c r="J79" s="355">
        <f>'MDA FGD'!$J$15</f>
        <v>0</v>
      </c>
      <c r="K79" s="355">
        <f>'MDA FGD'!$K$15</f>
        <v>0</v>
      </c>
      <c r="L79" s="355">
        <f>'MDA FGD'!$L$15</f>
        <v>0</v>
      </c>
      <c r="M79" s="357">
        <f>'MDA FGD'!$M$15</f>
        <v>258497280</v>
      </c>
    </row>
    <row r="80" spans="1:13" hidden="1" outlineLevel="1">
      <c r="B80" s="392" t="str">
        <f>'RGVM FGD'!$B$2</f>
        <v>The University of Texas Rio Grande Valley Medical School (M)</v>
      </c>
      <c r="D80" s="355">
        <f>'RGVM FGD'!$D$15</f>
        <v>29328746</v>
      </c>
      <c r="E80" s="355">
        <f>'RGVM FGD'!$E$15</f>
        <v>0</v>
      </c>
      <c r="F80" s="355">
        <f>'RGVM FGD'!$F$15</f>
        <v>0</v>
      </c>
      <c r="G80" s="355">
        <f>'RGVM FGD'!$G$15</f>
        <v>0</v>
      </c>
      <c r="H80" s="355">
        <f>'RGVM FGD'!$H$15</f>
        <v>0</v>
      </c>
      <c r="I80" s="355">
        <f>'RGVM FGD'!$I$15</f>
        <v>0</v>
      </c>
      <c r="J80" s="355">
        <f>'RGVM FGD'!$J$15</f>
        <v>0</v>
      </c>
      <c r="K80" s="355">
        <f>'RGVM FGD'!$K$15</f>
        <v>0</v>
      </c>
      <c r="L80" s="355">
        <f>'RGVM FGD'!$L$15</f>
        <v>0</v>
      </c>
      <c r="M80" s="357">
        <f>'RGVM FGD'!$M$15</f>
        <v>29328746</v>
      </c>
    </row>
    <row r="81" spans="1:15" hidden="1" outlineLevel="1">
      <c r="B81" s="392" t="str">
        <f>'SWM FGD'!$B$2</f>
        <v>The University of Texas Southwestern Medical Center</v>
      </c>
      <c r="D81" s="355">
        <f>'SWM FGD'!$D$15</f>
        <v>193218600</v>
      </c>
      <c r="E81" s="355">
        <f>'SWM FGD'!$E$15</f>
        <v>1537881</v>
      </c>
      <c r="F81" s="355">
        <f>'SWM FGD'!$F$15</f>
        <v>0</v>
      </c>
      <c r="G81" s="355">
        <f>'SWM FGD'!$G$15</f>
        <v>38402817</v>
      </c>
      <c r="H81" s="355">
        <f>'SWM FGD'!$H$15</f>
        <v>0</v>
      </c>
      <c r="I81" s="355">
        <f>'SWM FGD'!$I$15</f>
        <v>0</v>
      </c>
      <c r="J81" s="355">
        <f>'SWM FGD'!$J$15</f>
        <v>0</v>
      </c>
      <c r="K81" s="355">
        <f>'SWM FGD'!$K$15</f>
        <v>0</v>
      </c>
      <c r="L81" s="355">
        <f>'SWM FGD'!$L$15</f>
        <v>0</v>
      </c>
      <c r="M81" s="357">
        <f>'SWM FGD'!$M$15</f>
        <v>233159298</v>
      </c>
    </row>
    <row r="82" spans="1:15" hidden="1" outlineLevel="1">
      <c r="B82" s="392" t="str">
        <f>'TAMHSC FGD'!$B$2</f>
        <v>Texas A&amp;M University System Health Science Center</v>
      </c>
      <c r="D82" s="355">
        <f>'TAMHSC FGD'!$D$15</f>
        <v>162367541</v>
      </c>
      <c r="E82" s="355">
        <f>'TAMHSC FGD'!$E$15</f>
        <v>18867724</v>
      </c>
      <c r="F82" s="355">
        <f>'TAMHSC FGD'!$F$15</f>
        <v>0</v>
      </c>
      <c r="G82" s="355">
        <f>'TAMHSC FGD'!$G$15</f>
        <v>4757176</v>
      </c>
      <c r="H82" s="355">
        <f>'TAMHSC FGD'!$H$15</f>
        <v>0</v>
      </c>
      <c r="I82" s="355">
        <f>'TAMHSC FGD'!$I$15</f>
        <v>0</v>
      </c>
      <c r="J82" s="355">
        <f>'TAMHSC FGD'!$J$15</f>
        <v>0</v>
      </c>
      <c r="K82" s="355">
        <f>'TAMHSC FGD'!$K$15</f>
        <v>0</v>
      </c>
      <c r="L82" s="355">
        <f>'TAMHSC FGD'!$L$15</f>
        <v>0</v>
      </c>
      <c r="M82" s="357">
        <f>'TAMHSC FGD'!$M$15</f>
        <v>185992441</v>
      </c>
    </row>
    <row r="83" spans="1:15" hidden="1" outlineLevel="1">
      <c r="B83" s="392" t="str">
        <f>'THC FGD'!$B$2</f>
        <v>The University of Texas Health Science Center at Tyler</v>
      </c>
      <c r="D83" s="355">
        <f>'THC FGD'!$D$15</f>
        <v>60603760</v>
      </c>
      <c r="E83" s="355">
        <f>'THC FGD'!$E$15</f>
        <v>867539</v>
      </c>
      <c r="F83" s="355">
        <f>'THC FGD'!$F$15</f>
        <v>0</v>
      </c>
      <c r="G83" s="355">
        <f>'THC FGD'!$G$15</f>
        <v>3057271</v>
      </c>
      <c r="H83" s="355">
        <f>'THC FGD'!$H$15</f>
        <v>0</v>
      </c>
      <c r="I83" s="355">
        <f>'THC FGD'!$I$15</f>
        <v>0</v>
      </c>
      <c r="J83" s="355">
        <f>'THC FGD'!$J$15</f>
        <v>0</v>
      </c>
      <c r="K83" s="355">
        <f>'THC FGD'!$K$15</f>
        <v>0</v>
      </c>
      <c r="L83" s="355">
        <f>'THC FGD'!$L$15</f>
        <v>0</v>
      </c>
      <c r="M83" s="357">
        <f>'THC FGD'!$M$15</f>
        <v>64528570</v>
      </c>
    </row>
    <row r="84" spans="1:15" hidden="1" outlineLevel="1">
      <c r="B84" s="392" t="str">
        <f>'TTUHSC FGD'!$B$2</f>
        <v>Texas Tech University Health Sciences Center</v>
      </c>
      <c r="D84" s="355">
        <f>'TTUHSC FGD'!$D$15</f>
        <v>182821529</v>
      </c>
      <c r="E84" s="355">
        <f>'TTUHSC FGD'!$E$15</f>
        <v>82852</v>
      </c>
      <c r="F84" s="355">
        <f>'TTUHSC FGD'!$F$15</f>
        <v>0</v>
      </c>
      <c r="G84" s="355">
        <f>'TTUHSC FGD'!$G$15</f>
        <v>18715623</v>
      </c>
      <c r="H84" s="355">
        <f>'TTUHSC FGD'!$H$15</f>
        <v>0</v>
      </c>
      <c r="I84" s="355">
        <f>'TTUHSC FGD'!$I$15</f>
        <v>0</v>
      </c>
      <c r="J84" s="355">
        <f>'TTUHSC FGD'!$J$15</f>
        <v>0</v>
      </c>
      <c r="K84" s="355">
        <f>'TTUHSC FGD'!$K$15</f>
        <v>0</v>
      </c>
      <c r="L84" s="355">
        <f>'TTUHSC FGD'!$L$15</f>
        <v>0</v>
      </c>
      <c r="M84" s="357">
        <f>'TTUHSC FGD'!$M$15</f>
        <v>201620004</v>
      </c>
    </row>
    <row r="85" spans="1:15" hidden="1" outlineLevel="1">
      <c r="B85" s="392" t="str">
        <f>'TTUHSCEP FGD'!$B$2</f>
        <v>Texas Tech University Health Sciences Center at El Paso</v>
      </c>
      <c r="D85" s="355">
        <f>'TTUHSCEP FGD'!$D$15</f>
        <v>83688862</v>
      </c>
      <c r="E85" s="355">
        <f>'TTUHSCEP FGD'!$E$15</f>
        <v>302120</v>
      </c>
      <c r="F85" s="355">
        <f>'TTUHSCEP FGD'!$F$15</f>
        <v>0</v>
      </c>
      <c r="G85" s="355">
        <f>'TTUHSCEP FGD'!$G$15</f>
        <v>4017392</v>
      </c>
      <c r="H85" s="355">
        <f>'TTUHSCEP FGD'!$H$15</f>
        <v>0</v>
      </c>
      <c r="I85" s="355">
        <f>'TTUHSCEP FGD'!$I$15</f>
        <v>0</v>
      </c>
      <c r="J85" s="355">
        <f>'TTUHSCEP FGD'!$J$15</f>
        <v>0</v>
      </c>
      <c r="K85" s="355">
        <f>'TTUHSCEP FGD'!$K$15</f>
        <v>0</v>
      </c>
      <c r="L85" s="355">
        <f>'TTUHSCEP FGD'!$L$15</f>
        <v>0</v>
      </c>
      <c r="M85" s="357">
        <f>'TTUHSCEP FGD'!$M$15</f>
        <v>88008374</v>
      </c>
    </row>
    <row r="86" spans="1:15" hidden="1" outlineLevel="1">
      <c r="B86" s="392" t="str">
        <f>'UNTHSC FGD'!$B$2</f>
        <v>University of North Texas Health Science Center at Fort Worth</v>
      </c>
      <c r="D86" s="355">
        <f>'UNTHSC FGD'!$D$15</f>
        <v>120284722</v>
      </c>
      <c r="E86" s="355">
        <f>'UNTHSC FGD'!$E$15</f>
        <v>825000</v>
      </c>
      <c r="F86" s="355">
        <f>'UNTHSC FGD'!$F$15</f>
        <v>0</v>
      </c>
      <c r="G86" s="355">
        <f>'UNTHSC FGD'!$G$15</f>
        <v>1889527</v>
      </c>
      <c r="H86" s="355">
        <f>'UNTHSC FGD'!$H$15</f>
        <v>0</v>
      </c>
      <c r="I86" s="355">
        <f>'UNTHSC FGD'!$I$15</f>
        <v>0</v>
      </c>
      <c r="J86" s="355">
        <f>'UNTHSC FGD'!$J$15</f>
        <v>0</v>
      </c>
      <c r="K86" s="355">
        <f>'UNTHSC FGD'!$K$15</f>
        <v>0</v>
      </c>
      <c r="L86" s="355">
        <f>'UNTHSC FGD'!$L$15</f>
        <v>0</v>
      </c>
      <c r="M86" s="357">
        <f>'UNTHSC FGD'!$M$15</f>
        <v>122999249</v>
      </c>
    </row>
    <row r="87" spans="1:15" collapsed="1">
      <c r="A87" s="147">
        <v>14</v>
      </c>
      <c r="B87" s="158" t="s">
        <v>3</v>
      </c>
      <c r="C87" s="158"/>
      <c r="D87" s="356">
        <f t="shared" ref="D87:M87" si="5">SUM(D75:D86)</f>
        <v>1834780830</v>
      </c>
      <c r="E87" s="356">
        <f t="shared" si="5"/>
        <v>27952298</v>
      </c>
      <c r="F87" s="356">
        <f t="shared" si="5"/>
        <v>0</v>
      </c>
      <c r="G87" s="356">
        <f t="shared" si="5"/>
        <v>153310108</v>
      </c>
      <c r="H87" s="356">
        <f t="shared" si="5"/>
        <v>0</v>
      </c>
      <c r="I87" s="356">
        <f t="shared" si="5"/>
        <v>0</v>
      </c>
      <c r="J87" s="356">
        <f t="shared" si="5"/>
        <v>0</v>
      </c>
      <c r="K87" s="356">
        <f t="shared" si="5"/>
        <v>0</v>
      </c>
      <c r="L87" s="356">
        <f t="shared" si="5"/>
        <v>0</v>
      </c>
      <c r="M87" s="356">
        <f t="shared" si="5"/>
        <v>2016043236</v>
      </c>
      <c r="O87" s="293" t="str">
        <f>IF(M87&lt;&gt;M987,"Error","OK")</f>
        <v>OK</v>
      </c>
    </row>
    <row r="88" spans="1:15" ht="12.75" customHeight="1">
      <c r="A88" s="147">
        <v>15</v>
      </c>
      <c r="D88" s="357"/>
      <c r="E88" s="357"/>
      <c r="F88" s="357"/>
      <c r="G88" s="357"/>
      <c r="H88" s="357"/>
      <c r="I88" s="357"/>
      <c r="J88" s="357"/>
      <c r="K88" s="357"/>
      <c r="L88" s="357"/>
      <c r="M88" s="357"/>
    </row>
    <row r="89" spans="1:15" ht="14.25" customHeight="1">
      <c r="A89" s="147">
        <v>16</v>
      </c>
      <c r="B89" s="151" t="s">
        <v>4</v>
      </c>
      <c r="C89" s="151"/>
      <c r="D89" s="357"/>
      <c r="E89" s="357"/>
      <c r="F89" s="357"/>
      <c r="G89" s="357"/>
      <c r="H89" s="357"/>
      <c r="I89" s="357"/>
      <c r="J89" s="357"/>
      <c r="K89" s="357"/>
      <c r="L89" s="357"/>
      <c r="M89" s="357"/>
      <c r="N89" s="24"/>
      <c r="O89" s="149"/>
    </row>
    <row r="90" spans="1:15" ht="14.25" hidden="1" customHeight="1" outlineLevel="1">
      <c r="B90" s="392" t="str">
        <f>'AUSM FGD'!$B$2</f>
        <v>The University of Texas at Austin Medical School (M)</v>
      </c>
      <c r="C90" s="151"/>
      <c r="D90" s="357">
        <f>'AUSM FGD'!$D$18</f>
        <v>934738</v>
      </c>
      <c r="E90" s="357">
        <f>'AUSM FGD'!$E$18</f>
        <v>1362879</v>
      </c>
      <c r="F90" s="357">
        <f>'AUSM FGD'!$F$18</f>
        <v>0</v>
      </c>
      <c r="G90" s="357">
        <f>'AUSM FGD'!$G$18</f>
        <v>0</v>
      </c>
      <c r="H90" s="357">
        <f>'AUSM FGD'!$H$18</f>
        <v>0</v>
      </c>
      <c r="I90" s="357">
        <f>'AUSM FGD'!$I$18</f>
        <v>0</v>
      </c>
      <c r="J90" s="357">
        <f>'AUSM FGD'!$J$18</f>
        <v>0</v>
      </c>
      <c r="K90" s="357">
        <f>'AUSM FGD'!$K$18</f>
        <v>0</v>
      </c>
      <c r="L90" s="357">
        <f>'AUSM FGD'!$L$18</f>
        <v>0</v>
      </c>
      <c r="M90" s="357">
        <f>'AUSM FGD'!$M$18</f>
        <v>2297617</v>
      </c>
      <c r="N90" s="24"/>
      <c r="O90" s="149"/>
    </row>
    <row r="91" spans="1:15" ht="14.25" hidden="1" customHeight="1" outlineLevel="1">
      <c r="B91" s="392" t="str">
        <f>'HSH FGD'!$B$2</f>
        <v>The University of Texas Health Science Center at Houston</v>
      </c>
      <c r="C91" s="151"/>
      <c r="D91" s="357">
        <f>'HSH FGD'!$D$18</f>
        <v>31354291</v>
      </c>
      <c r="E91" s="357">
        <f>'HSH FGD'!$E$18</f>
        <v>22129378</v>
      </c>
      <c r="F91" s="357">
        <f>'HSH FGD'!$F$18</f>
        <v>0</v>
      </c>
      <c r="G91" s="357">
        <f>'HSH FGD'!$G$18</f>
        <v>0</v>
      </c>
      <c r="H91" s="357">
        <f>'HSH FGD'!$H$18</f>
        <v>0</v>
      </c>
      <c r="I91" s="357">
        <f>'HSH FGD'!$I$18</f>
        <v>0</v>
      </c>
      <c r="J91" s="357">
        <f>'HSH FGD'!$J$18</f>
        <v>0</v>
      </c>
      <c r="K91" s="357">
        <f>'HSH FGD'!$K$18</f>
        <v>0</v>
      </c>
      <c r="L91" s="357">
        <f>'HSH FGD'!$L$18</f>
        <v>0</v>
      </c>
      <c r="M91" s="357">
        <f>'HSH FGD'!$M$18</f>
        <v>53483669</v>
      </c>
      <c r="N91" s="24"/>
      <c r="O91" s="149"/>
    </row>
    <row r="92" spans="1:15" ht="14.25" hidden="1" customHeight="1" outlineLevel="1">
      <c r="B92" s="392" t="str">
        <f>'HSSA FGD'!$B$2</f>
        <v>The University of Texas Health Science Center at San Antonio</v>
      </c>
      <c r="C92" s="151"/>
      <c r="D92" s="357">
        <f>'HSSA FGD'!$D$18</f>
        <v>21331941</v>
      </c>
      <c r="E92" s="357">
        <f>'HSSA FGD'!$E$18</f>
        <v>31912567</v>
      </c>
      <c r="F92" s="357">
        <f>'HSSA FGD'!$F$18</f>
        <v>0</v>
      </c>
      <c r="G92" s="357">
        <f>'HSSA FGD'!$G$18</f>
        <v>0</v>
      </c>
      <c r="H92" s="357">
        <f>'HSSA FGD'!$H$18</f>
        <v>0</v>
      </c>
      <c r="I92" s="357">
        <f>'HSSA FGD'!$I$18</f>
        <v>0</v>
      </c>
      <c r="J92" s="357">
        <f>'HSSA FGD'!$J$18</f>
        <v>0</v>
      </c>
      <c r="K92" s="357">
        <f>'HSSA FGD'!$K$18</f>
        <v>0</v>
      </c>
      <c r="L92" s="357">
        <f>'HSSA FGD'!$L$18</f>
        <v>0</v>
      </c>
      <c r="M92" s="357">
        <f>'HSSA FGD'!$M$18</f>
        <v>53244508</v>
      </c>
      <c r="N92" s="24"/>
      <c r="O92" s="149"/>
    </row>
    <row r="93" spans="1:15" ht="14.25" hidden="1" customHeight="1" outlineLevel="1">
      <c r="B93" s="392" t="str">
        <f>'MBG FGD'!$B$2</f>
        <v>The University of Texas Medical Branch at Galveston</v>
      </c>
      <c r="C93" s="151"/>
      <c r="D93" s="357">
        <f>'MBG FGD'!$D$18</f>
        <v>14818559</v>
      </c>
      <c r="E93" s="357">
        <f>'MBG FGD'!$E$18</f>
        <v>21982950</v>
      </c>
      <c r="F93" s="357">
        <f>'MBG FGD'!$F$18</f>
        <v>0</v>
      </c>
      <c r="G93" s="357">
        <f>'MBG FGD'!$G$18</f>
        <v>0</v>
      </c>
      <c r="H93" s="357">
        <f>'MBG FGD'!$H$18</f>
        <v>0</v>
      </c>
      <c r="I93" s="357">
        <f>'MBG FGD'!$I$18</f>
        <v>0</v>
      </c>
      <c r="J93" s="357">
        <f>'MBG FGD'!$J$18</f>
        <v>0</v>
      </c>
      <c r="K93" s="357">
        <f>'MBG FGD'!$K$18</f>
        <v>0</v>
      </c>
      <c r="L93" s="357">
        <f>'MBG FGD'!$L$18</f>
        <v>0</v>
      </c>
      <c r="M93" s="357">
        <f>'MBG FGD'!$M$18</f>
        <v>36801509</v>
      </c>
      <c r="N93" s="24"/>
      <c r="O93" s="149"/>
    </row>
    <row r="94" spans="1:15" ht="14.25" hidden="1" customHeight="1" outlineLevel="1">
      <c r="B94" s="392" t="str">
        <f>'MDA FGD'!$B$2</f>
        <v>The University of Texas M.D. Anderson Cancer Center</v>
      </c>
      <c r="C94" s="151"/>
      <c r="D94" s="357">
        <f>'MDA FGD'!$D$18</f>
        <v>826735</v>
      </c>
      <c r="E94" s="357">
        <f>'MDA FGD'!$E$18</f>
        <v>412439</v>
      </c>
      <c r="F94" s="357">
        <f>'MDA FGD'!$F$18</f>
        <v>0</v>
      </c>
      <c r="G94" s="357">
        <f>'MDA FGD'!$G$18</f>
        <v>0</v>
      </c>
      <c r="H94" s="357">
        <f>'MDA FGD'!$H$18</f>
        <v>0</v>
      </c>
      <c r="I94" s="357">
        <f>'MDA FGD'!$I$18</f>
        <v>0</v>
      </c>
      <c r="J94" s="357">
        <f>'MDA FGD'!$J$18</f>
        <v>0</v>
      </c>
      <c r="K94" s="357">
        <f>'MDA FGD'!$K$18</f>
        <v>0</v>
      </c>
      <c r="L94" s="357">
        <f>'MDA FGD'!$L$18</f>
        <v>0</v>
      </c>
      <c r="M94" s="357">
        <f>'MDA FGD'!$M$18</f>
        <v>1239174</v>
      </c>
      <c r="N94" s="24"/>
      <c r="O94" s="149"/>
    </row>
    <row r="95" spans="1:15" ht="14.25" hidden="1" customHeight="1" outlineLevel="1">
      <c r="B95" s="392" t="str">
        <f>'RGVM FGD'!$B$2</f>
        <v>The University of Texas Rio Grande Valley Medical School (M)</v>
      </c>
      <c r="C95" s="151"/>
      <c r="D95" s="357">
        <f>'RGVM FGD'!$D$18</f>
        <v>846148</v>
      </c>
      <c r="E95" s="357">
        <f>'RGVM FGD'!$E$18</f>
        <v>1109303</v>
      </c>
      <c r="F95" s="357">
        <f>'RGVM FGD'!$F$18</f>
        <v>0</v>
      </c>
      <c r="G95" s="357">
        <f>'RGVM FGD'!$G$18</f>
        <v>0</v>
      </c>
      <c r="H95" s="357">
        <f>'RGVM FGD'!$H$18</f>
        <v>0</v>
      </c>
      <c r="I95" s="357">
        <f>'RGVM FGD'!$I$18</f>
        <v>0</v>
      </c>
      <c r="J95" s="357">
        <f>'RGVM FGD'!$J$18</f>
        <v>0</v>
      </c>
      <c r="K95" s="357">
        <f>'RGVM FGD'!$K$18</f>
        <v>0</v>
      </c>
      <c r="L95" s="357">
        <f>'RGVM FGD'!$L$18</f>
        <v>0</v>
      </c>
      <c r="M95" s="357">
        <f>'RGVM FGD'!$M$18</f>
        <v>1955451</v>
      </c>
      <c r="N95" s="24"/>
      <c r="O95" s="149"/>
    </row>
    <row r="96" spans="1:15" ht="14.25" hidden="1" customHeight="1" outlineLevel="1">
      <c r="B96" s="392" t="str">
        <f>'SWM FGD'!$B$2</f>
        <v>The University of Texas Southwestern Medical Center</v>
      </c>
      <c r="C96" s="151"/>
      <c r="D96" s="357">
        <f>'SWM FGD'!$D$18</f>
        <v>14772621</v>
      </c>
      <c r="E96" s="357">
        <f>'SWM FGD'!$E$18</f>
        <v>16960062</v>
      </c>
      <c r="F96" s="357">
        <f>'SWM FGD'!$F$18</f>
        <v>0</v>
      </c>
      <c r="G96" s="357">
        <f>'SWM FGD'!$G$18</f>
        <v>0</v>
      </c>
      <c r="H96" s="357">
        <f>'SWM FGD'!$H$18</f>
        <v>0</v>
      </c>
      <c r="I96" s="357">
        <f>'SWM FGD'!$I$18</f>
        <v>0</v>
      </c>
      <c r="J96" s="357">
        <f>'SWM FGD'!$J$18</f>
        <v>0</v>
      </c>
      <c r="K96" s="357">
        <f>'SWM FGD'!$K$18</f>
        <v>0</v>
      </c>
      <c r="L96" s="357">
        <f>'SWM FGD'!$L$18</f>
        <v>0</v>
      </c>
      <c r="M96" s="357">
        <f>'SWM FGD'!$M$18</f>
        <v>31732683</v>
      </c>
      <c r="N96" s="24"/>
      <c r="O96" s="149"/>
    </row>
    <row r="97" spans="1:15" ht="14.25" hidden="1" customHeight="1" outlineLevel="1">
      <c r="B97" s="392" t="str">
        <f>'TAMHSC FGD'!$B$2</f>
        <v>Texas A&amp;M University System Health Science Center</v>
      </c>
      <c r="C97" s="151"/>
      <c r="D97" s="357">
        <f>'TAMHSC FGD'!$D$18</f>
        <v>20831331</v>
      </c>
      <c r="E97" s="357">
        <f>'TAMHSC FGD'!$E$18</f>
        <v>9530815</v>
      </c>
      <c r="F97" s="357">
        <f>'TAMHSC FGD'!$F$18</f>
        <v>0</v>
      </c>
      <c r="G97" s="357">
        <f>'TAMHSC FGD'!$G$18</f>
        <v>0</v>
      </c>
      <c r="H97" s="357">
        <f>'TAMHSC FGD'!$H$18</f>
        <v>0</v>
      </c>
      <c r="I97" s="357">
        <f>'TAMHSC FGD'!$I$18</f>
        <v>0</v>
      </c>
      <c r="J97" s="357">
        <f>'TAMHSC FGD'!$J$18</f>
        <v>0</v>
      </c>
      <c r="K97" s="357">
        <f>'TAMHSC FGD'!$K$18</f>
        <v>0</v>
      </c>
      <c r="L97" s="357">
        <f>'TAMHSC FGD'!$L$18</f>
        <v>0</v>
      </c>
      <c r="M97" s="357">
        <f>'TAMHSC FGD'!$M$18</f>
        <v>30362146</v>
      </c>
      <c r="N97" s="24"/>
      <c r="O97" s="149"/>
    </row>
    <row r="98" spans="1:15" ht="14.25" hidden="1" customHeight="1" outlineLevel="1">
      <c r="B98" s="392" t="str">
        <f>'THC FGD'!$B$2</f>
        <v>The University of Texas Health Science Center at Tyler</v>
      </c>
      <c r="C98" s="151"/>
      <c r="D98" s="357">
        <f>'THC FGD'!$D$18</f>
        <v>173972</v>
      </c>
      <c r="E98" s="357">
        <f>'THC FGD'!$E$18</f>
        <v>87308</v>
      </c>
      <c r="F98" s="357">
        <f>'THC FGD'!$F$18</f>
        <v>0</v>
      </c>
      <c r="G98" s="357">
        <f>'THC FGD'!$G$18</f>
        <v>0</v>
      </c>
      <c r="H98" s="357">
        <f>'THC FGD'!$H$18</f>
        <v>0</v>
      </c>
      <c r="I98" s="357">
        <f>'THC FGD'!$I$18</f>
        <v>0</v>
      </c>
      <c r="J98" s="357">
        <f>'THC FGD'!$J$18</f>
        <v>0</v>
      </c>
      <c r="K98" s="357">
        <f>'THC FGD'!$K$18</f>
        <v>0</v>
      </c>
      <c r="L98" s="357">
        <f>'THC FGD'!$L$18</f>
        <v>0</v>
      </c>
      <c r="M98" s="357">
        <f>'THC FGD'!$M$18</f>
        <v>261280</v>
      </c>
      <c r="N98" s="24"/>
      <c r="O98" s="149"/>
    </row>
    <row r="99" spans="1:15" ht="14.25" hidden="1" customHeight="1" outlineLevel="1">
      <c r="B99" s="392" t="str">
        <f>'TTUHSC FGD'!$B$2</f>
        <v>Texas Tech University Health Sciences Center</v>
      </c>
      <c r="C99" s="151"/>
      <c r="D99" s="357">
        <f>'TTUHSC FGD'!$D$18</f>
        <v>20456468</v>
      </c>
      <c r="E99" s="357">
        <f>'TTUHSC FGD'!$E$18</f>
        <v>27794027</v>
      </c>
      <c r="F99" s="357">
        <f>'TTUHSC FGD'!$F$18</f>
        <v>0</v>
      </c>
      <c r="G99" s="357">
        <f>'TTUHSC FGD'!$G$18</f>
        <v>0</v>
      </c>
      <c r="H99" s="357">
        <f>'TTUHSC FGD'!$H$18</f>
        <v>0</v>
      </c>
      <c r="I99" s="357">
        <f>'TTUHSC FGD'!$I$18</f>
        <v>0</v>
      </c>
      <c r="J99" s="357">
        <f>'TTUHSC FGD'!$J$18</f>
        <v>0</v>
      </c>
      <c r="K99" s="357">
        <f>'TTUHSC FGD'!$K$18</f>
        <v>0</v>
      </c>
      <c r="L99" s="357">
        <f>'TTUHSC FGD'!$L$18</f>
        <v>0</v>
      </c>
      <c r="M99" s="357">
        <f>'TTUHSC FGD'!$M$18</f>
        <v>48250495</v>
      </c>
      <c r="N99" s="24"/>
      <c r="O99" s="149"/>
    </row>
    <row r="100" spans="1:15" ht="14.25" hidden="1" customHeight="1" outlineLevel="1">
      <c r="B100" s="392" t="str">
        <f>'TTUHSCEP FGD'!$B$2</f>
        <v>Texas Tech University Health Sciences Center at El Paso</v>
      </c>
      <c r="C100" s="151"/>
      <c r="D100" s="357">
        <f>'TTUHSCEP FGD'!$D$18</f>
        <v>3398598</v>
      </c>
      <c r="E100" s="357">
        <f>'TTUHSCEP FGD'!$E$18</f>
        <v>5051171</v>
      </c>
      <c r="F100" s="357">
        <f>'TTUHSCEP FGD'!$F$18</f>
        <v>0</v>
      </c>
      <c r="G100" s="357">
        <f>'TTUHSCEP FGD'!$G$18</f>
        <v>0</v>
      </c>
      <c r="H100" s="357">
        <f>'TTUHSCEP FGD'!$H$18</f>
        <v>0</v>
      </c>
      <c r="I100" s="357">
        <f>'TTUHSCEP FGD'!$I$18</f>
        <v>0</v>
      </c>
      <c r="J100" s="357">
        <f>'TTUHSCEP FGD'!$J$18</f>
        <v>0</v>
      </c>
      <c r="K100" s="357">
        <f>'TTUHSCEP FGD'!$K$18</f>
        <v>0</v>
      </c>
      <c r="L100" s="357">
        <f>'TTUHSCEP FGD'!$L$18</f>
        <v>0</v>
      </c>
      <c r="M100" s="357">
        <f>'TTUHSCEP FGD'!$M$18</f>
        <v>8449769</v>
      </c>
      <c r="N100" s="24"/>
      <c r="O100" s="149"/>
    </row>
    <row r="101" spans="1:15" ht="14.25" hidden="1" customHeight="1" outlineLevel="1">
      <c r="B101" s="392" t="str">
        <f>'UNTHSC FGD'!$B$2</f>
        <v>University of North Texas Health Science Center at Fort Worth</v>
      </c>
      <c r="C101" s="151"/>
      <c r="D101" s="357">
        <f>'UNTHSC FGD'!$D$18</f>
        <v>12888066</v>
      </c>
      <c r="E101" s="357">
        <f>'UNTHSC FGD'!$E$18</f>
        <v>12713782</v>
      </c>
      <c r="F101" s="357">
        <f>'UNTHSC FGD'!$F$18</f>
        <v>0</v>
      </c>
      <c r="G101" s="357">
        <f>'UNTHSC FGD'!$G$18</f>
        <v>0</v>
      </c>
      <c r="H101" s="357">
        <f>'UNTHSC FGD'!$H$18</f>
        <v>0</v>
      </c>
      <c r="I101" s="357">
        <f>'UNTHSC FGD'!$I$18</f>
        <v>0</v>
      </c>
      <c r="J101" s="357">
        <f>'UNTHSC FGD'!$J$18</f>
        <v>0</v>
      </c>
      <c r="K101" s="357">
        <f>'UNTHSC FGD'!$K$18</f>
        <v>0</v>
      </c>
      <c r="L101" s="357">
        <f>'UNTHSC FGD'!$L$18</f>
        <v>0</v>
      </c>
      <c r="M101" s="357">
        <f>'UNTHSC FGD'!$M$18</f>
        <v>25601848</v>
      </c>
      <c r="N101" s="24"/>
      <c r="O101" s="149"/>
    </row>
    <row r="102" spans="1:15" s="50" customFormat="1" ht="13.5" customHeight="1" collapsed="1">
      <c r="A102" s="293"/>
      <c r="B102" s="536" t="s">
        <v>995</v>
      </c>
      <c r="C102" s="536"/>
      <c r="D102" s="356">
        <f t="shared" ref="D102:M102" si="6">SUM(D90:D101)</f>
        <v>142633468</v>
      </c>
      <c r="E102" s="356">
        <f t="shared" si="6"/>
        <v>151046681</v>
      </c>
      <c r="F102" s="356">
        <f t="shared" si="6"/>
        <v>0</v>
      </c>
      <c r="G102" s="356">
        <f t="shared" si="6"/>
        <v>0</v>
      </c>
      <c r="H102" s="356">
        <f t="shared" si="6"/>
        <v>0</v>
      </c>
      <c r="I102" s="356">
        <f t="shared" si="6"/>
        <v>0</v>
      </c>
      <c r="J102" s="356">
        <f t="shared" si="6"/>
        <v>0</v>
      </c>
      <c r="K102" s="356">
        <f t="shared" si="6"/>
        <v>0</v>
      </c>
      <c r="L102" s="356">
        <f t="shared" si="6"/>
        <v>0</v>
      </c>
      <c r="M102" s="356">
        <f t="shared" si="6"/>
        <v>293680149</v>
      </c>
    </row>
    <row r="103" spans="1:15" s="50" customFormat="1" ht="13.5" hidden="1" customHeight="1" outlineLevel="1">
      <c r="A103" s="293"/>
      <c r="B103" s="392" t="str">
        <f>'AUSM FGD'!$B$2</f>
        <v>The University of Texas at Austin Medical School (M)</v>
      </c>
      <c r="C103" s="221"/>
      <c r="D103" s="346">
        <f>'AUSM FGD'!$D$19</f>
        <v>0</v>
      </c>
      <c r="E103" s="346">
        <f>'AUSM FGD'!$E$19</f>
        <v>0</v>
      </c>
      <c r="F103" s="346">
        <f>'AUSM FGD'!$F$19</f>
        <v>0</v>
      </c>
      <c r="G103" s="346">
        <f>'AUSM FGD'!$G$19</f>
        <v>0</v>
      </c>
      <c r="H103" s="346">
        <f>'AUSM FGD'!$H$19</f>
        <v>0</v>
      </c>
      <c r="I103" s="346">
        <f>'AUSM FGD'!$I$19</f>
        <v>0</v>
      </c>
      <c r="J103" s="346">
        <f>'AUSM FGD'!$J$19</f>
        <v>0</v>
      </c>
      <c r="K103" s="346">
        <f>'AUSM FGD'!$K$19</f>
        <v>0</v>
      </c>
      <c r="L103" s="346">
        <f>'AUSM FGD'!$L$19</f>
        <v>0</v>
      </c>
      <c r="M103" s="346">
        <f>'AUSM FGD'!$M$19</f>
        <v>0</v>
      </c>
    </row>
    <row r="104" spans="1:15" s="50" customFormat="1" ht="13.5" hidden="1" customHeight="1" outlineLevel="1">
      <c r="A104" s="293"/>
      <c r="B104" s="392" t="str">
        <f>'HSH FGD'!$B$2</f>
        <v>The University of Texas Health Science Center at Houston</v>
      </c>
      <c r="C104" s="221"/>
      <c r="D104" s="346">
        <f>'HSH FGD'!$D$19</f>
        <v>-7119849</v>
      </c>
      <c r="E104" s="346">
        <f>'HSH FGD'!$E$19</f>
        <v>-62145</v>
      </c>
      <c r="F104" s="346">
        <f>'HSH FGD'!$F$19</f>
        <v>0</v>
      </c>
      <c r="G104" s="346">
        <f>'HSH FGD'!$G$19</f>
        <v>0</v>
      </c>
      <c r="H104" s="346">
        <f>'HSH FGD'!$H$19</f>
        <v>0</v>
      </c>
      <c r="I104" s="346">
        <f>'HSH FGD'!$I$19</f>
        <v>0</v>
      </c>
      <c r="J104" s="346">
        <f>'HSH FGD'!$J$19</f>
        <v>0</v>
      </c>
      <c r="K104" s="346">
        <f>'HSH FGD'!$K$19</f>
        <v>0</v>
      </c>
      <c r="L104" s="346">
        <f>'HSH FGD'!$L$19</f>
        <v>0</v>
      </c>
      <c r="M104" s="346">
        <f>'HSH FGD'!$M$19</f>
        <v>-7181994</v>
      </c>
    </row>
    <row r="105" spans="1:15" s="50" customFormat="1" ht="13.5" hidden="1" customHeight="1" outlineLevel="1">
      <c r="A105" s="293"/>
      <c r="B105" s="392" t="str">
        <f>'HSSA FGD'!$B$2</f>
        <v>The University of Texas Health Science Center at San Antonio</v>
      </c>
      <c r="C105" s="221"/>
      <c r="D105" s="346">
        <f>'HSSA FGD'!$D$19</f>
        <v>-5360496</v>
      </c>
      <c r="E105" s="346">
        <f>'HSSA FGD'!$E$19</f>
        <v>0</v>
      </c>
      <c r="F105" s="346">
        <f>'HSSA FGD'!$F$19</f>
        <v>0</v>
      </c>
      <c r="G105" s="346">
        <f>'HSSA FGD'!$G$19</f>
        <v>0</v>
      </c>
      <c r="H105" s="346">
        <f>'HSSA FGD'!$H$19</f>
        <v>0</v>
      </c>
      <c r="I105" s="346">
        <f>'HSSA FGD'!$I$19</f>
        <v>0</v>
      </c>
      <c r="J105" s="346">
        <f>'HSSA FGD'!$J$19</f>
        <v>0</v>
      </c>
      <c r="K105" s="346">
        <f>'HSSA FGD'!$K$19</f>
        <v>0</v>
      </c>
      <c r="L105" s="346">
        <f>'HSSA FGD'!$L$19</f>
        <v>0</v>
      </c>
      <c r="M105" s="346">
        <f>'HSSA FGD'!$M$19</f>
        <v>-5360496</v>
      </c>
    </row>
    <row r="106" spans="1:15" s="50" customFormat="1" ht="13.5" hidden="1" customHeight="1" outlineLevel="1">
      <c r="A106" s="293"/>
      <c r="B106" s="392" t="str">
        <f>'MBG FGD'!$B$2</f>
        <v>The University of Texas Medical Branch at Galveston</v>
      </c>
      <c r="C106" s="221"/>
      <c r="D106" s="346">
        <f>'MBG FGD'!$D$19</f>
        <v>-1254239</v>
      </c>
      <c r="E106" s="346">
        <f>'MBG FGD'!$E$19</f>
        <v>-11940</v>
      </c>
      <c r="F106" s="346">
        <f>'MBG FGD'!$F$19</f>
        <v>0</v>
      </c>
      <c r="G106" s="346">
        <f>'MBG FGD'!$G$19</f>
        <v>0</v>
      </c>
      <c r="H106" s="346">
        <f>'MBG FGD'!$H$19</f>
        <v>0</v>
      </c>
      <c r="I106" s="346">
        <f>'MBG FGD'!$I$19</f>
        <v>0</v>
      </c>
      <c r="J106" s="346">
        <f>'MBG FGD'!$J$19</f>
        <v>0</v>
      </c>
      <c r="K106" s="346">
        <f>'MBG FGD'!$K$19</f>
        <v>0</v>
      </c>
      <c r="L106" s="346">
        <f>'MBG FGD'!$L$19</f>
        <v>0</v>
      </c>
      <c r="M106" s="346">
        <f>'MBG FGD'!$M$19</f>
        <v>-1266179</v>
      </c>
    </row>
    <row r="107" spans="1:15" s="50" customFormat="1" ht="13.5" hidden="1" customHeight="1" outlineLevel="1">
      <c r="A107" s="293"/>
      <c r="B107" s="392" t="str">
        <f>'MDA FGD'!$B$2</f>
        <v>The University of Texas M.D. Anderson Cancer Center</v>
      </c>
      <c r="C107" s="221"/>
      <c r="D107" s="346">
        <f>'MDA FGD'!$D$19</f>
        <v>-239990</v>
      </c>
      <c r="E107" s="346">
        <f>'MDA FGD'!$E$19</f>
        <v>0</v>
      </c>
      <c r="F107" s="346">
        <f>'MDA FGD'!$F$19</f>
        <v>0</v>
      </c>
      <c r="G107" s="346">
        <f>'MDA FGD'!$G$19</f>
        <v>0</v>
      </c>
      <c r="H107" s="346">
        <f>'MDA FGD'!$H$19</f>
        <v>0</v>
      </c>
      <c r="I107" s="346">
        <f>'MDA FGD'!$I$19</f>
        <v>0</v>
      </c>
      <c r="J107" s="346">
        <f>'MDA FGD'!$J$19</f>
        <v>0</v>
      </c>
      <c r="K107" s="346">
        <f>'MDA FGD'!$K$19</f>
        <v>0</v>
      </c>
      <c r="L107" s="346">
        <f>'MDA FGD'!$L$19</f>
        <v>0</v>
      </c>
      <c r="M107" s="346">
        <f>'MDA FGD'!$M$19</f>
        <v>-239990</v>
      </c>
    </row>
    <row r="108" spans="1:15" s="50" customFormat="1" ht="13.5" hidden="1" customHeight="1" outlineLevel="1">
      <c r="A108" s="293"/>
      <c r="B108" s="392" t="str">
        <f>'RGVM FGD'!$B$2</f>
        <v>The University of Texas Rio Grande Valley Medical School (M)</v>
      </c>
      <c r="C108" s="221"/>
      <c r="D108" s="346">
        <f>'RGVM FGD'!$D$19</f>
        <v>-152970</v>
      </c>
      <c r="E108" s="346">
        <f>'RGVM FGD'!$E$19</f>
        <v>0</v>
      </c>
      <c r="F108" s="346">
        <f>'RGVM FGD'!$F$19</f>
        <v>0</v>
      </c>
      <c r="G108" s="346">
        <f>'RGVM FGD'!$G$19</f>
        <v>0</v>
      </c>
      <c r="H108" s="346">
        <f>'RGVM FGD'!$H$19</f>
        <v>0</v>
      </c>
      <c r="I108" s="346">
        <f>'RGVM FGD'!$I$19</f>
        <v>0</v>
      </c>
      <c r="J108" s="346">
        <f>'RGVM FGD'!$J$19</f>
        <v>0</v>
      </c>
      <c r="K108" s="346">
        <f>'RGVM FGD'!$K$19</f>
        <v>0</v>
      </c>
      <c r="L108" s="346">
        <f>'RGVM FGD'!$L$19</f>
        <v>0</v>
      </c>
      <c r="M108" s="346">
        <f>'RGVM FGD'!$M$19</f>
        <v>-152970</v>
      </c>
    </row>
    <row r="109" spans="1:15" s="50" customFormat="1" ht="13.5" hidden="1" customHeight="1" outlineLevel="1">
      <c r="A109" s="293"/>
      <c r="B109" s="392" t="str">
        <f>'SWM FGD'!$B$2</f>
        <v>The University of Texas Southwestern Medical Center</v>
      </c>
      <c r="C109" s="221"/>
      <c r="D109" s="346">
        <f>'SWM FGD'!$D$19</f>
        <v>-6456273</v>
      </c>
      <c r="E109" s="346">
        <f>'SWM FGD'!$E$19</f>
        <v>0</v>
      </c>
      <c r="F109" s="346">
        <f>'SWM FGD'!$F$19</f>
        <v>0</v>
      </c>
      <c r="G109" s="346">
        <f>'SWM FGD'!$G$19</f>
        <v>0</v>
      </c>
      <c r="H109" s="346">
        <f>'SWM FGD'!$H$19</f>
        <v>0</v>
      </c>
      <c r="I109" s="346">
        <f>'SWM FGD'!$I$19</f>
        <v>0</v>
      </c>
      <c r="J109" s="346">
        <f>'SWM FGD'!$J$19</f>
        <v>0</v>
      </c>
      <c r="K109" s="346">
        <f>'SWM FGD'!$K$19</f>
        <v>0</v>
      </c>
      <c r="L109" s="346">
        <f>'SWM FGD'!$L$19</f>
        <v>0</v>
      </c>
      <c r="M109" s="346">
        <f>'SWM FGD'!$M$19</f>
        <v>-6456273</v>
      </c>
    </row>
    <row r="110" spans="1:15" s="50" customFormat="1" ht="13.5" hidden="1" customHeight="1" outlineLevel="1">
      <c r="A110" s="293"/>
      <c r="B110" s="392" t="str">
        <f>'TAMHSC FGD'!$B$2</f>
        <v>Texas A&amp;M University System Health Science Center</v>
      </c>
      <c r="C110" s="221"/>
      <c r="D110" s="346">
        <f>'TAMHSC FGD'!$D$19</f>
        <v>-2589708</v>
      </c>
      <c r="E110" s="346">
        <f>'TAMHSC FGD'!$E$19</f>
        <v>0</v>
      </c>
      <c r="F110" s="346">
        <f>'TAMHSC FGD'!$F$19</f>
        <v>0</v>
      </c>
      <c r="G110" s="346">
        <f>'TAMHSC FGD'!$G$19</f>
        <v>0</v>
      </c>
      <c r="H110" s="346">
        <f>'TAMHSC FGD'!$H$19</f>
        <v>0</v>
      </c>
      <c r="I110" s="346">
        <f>'TAMHSC FGD'!$I$19</f>
        <v>0</v>
      </c>
      <c r="J110" s="346">
        <f>'TAMHSC FGD'!$J$19</f>
        <v>0</v>
      </c>
      <c r="K110" s="346">
        <f>'TAMHSC FGD'!$K$19</f>
        <v>0</v>
      </c>
      <c r="L110" s="346">
        <f>'TAMHSC FGD'!$L$19</f>
        <v>0</v>
      </c>
      <c r="M110" s="346">
        <f>'TAMHSC FGD'!$M$19</f>
        <v>-2589708</v>
      </c>
    </row>
    <row r="111" spans="1:15" s="50" customFormat="1" ht="13.5" hidden="1" customHeight="1" outlineLevel="1">
      <c r="A111" s="293"/>
      <c r="B111" s="392" t="str">
        <f>'THC FGD'!$B$2</f>
        <v>The University of Texas Health Science Center at Tyler</v>
      </c>
      <c r="C111" s="221"/>
      <c r="D111" s="346">
        <f>'THC FGD'!$D$19</f>
        <v>-58100</v>
      </c>
      <c r="E111" s="346">
        <f>'THC FGD'!$E$19</f>
        <v>0</v>
      </c>
      <c r="F111" s="346">
        <f>'THC FGD'!$F$19</f>
        <v>0</v>
      </c>
      <c r="G111" s="346">
        <f>'THC FGD'!$G$19</f>
        <v>0</v>
      </c>
      <c r="H111" s="346">
        <f>'THC FGD'!$H$19</f>
        <v>0</v>
      </c>
      <c r="I111" s="346">
        <f>'THC FGD'!$I$19</f>
        <v>0</v>
      </c>
      <c r="J111" s="346">
        <f>'THC FGD'!$J$19</f>
        <v>0</v>
      </c>
      <c r="K111" s="346">
        <f>'THC FGD'!$K$19</f>
        <v>0</v>
      </c>
      <c r="L111" s="346">
        <f>'THC FGD'!$L$19</f>
        <v>0</v>
      </c>
      <c r="M111" s="346">
        <f>'THC FGD'!$M$19</f>
        <v>-58100</v>
      </c>
    </row>
    <row r="112" spans="1:15" s="50" customFormat="1" ht="13.5" hidden="1" customHeight="1" outlineLevel="1">
      <c r="A112" s="293"/>
      <c r="B112" s="392" t="str">
        <f>'TTUHSC FGD'!$B$2</f>
        <v>Texas Tech University Health Sciences Center</v>
      </c>
      <c r="C112" s="221"/>
      <c r="D112" s="346">
        <f>'TTUHSC FGD'!$D$19</f>
        <v>-3137114</v>
      </c>
      <c r="E112" s="346">
        <f>'TTUHSC FGD'!$E$19</f>
        <v>0</v>
      </c>
      <c r="F112" s="346">
        <f>'TTUHSC FGD'!$F$19</f>
        <v>0</v>
      </c>
      <c r="G112" s="346">
        <f>'TTUHSC FGD'!$G$19</f>
        <v>0</v>
      </c>
      <c r="H112" s="346">
        <f>'TTUHSC FGD'!$H$19</f>
        <v>0</v>
      </c>
      <c r="I112" s="346">
        <f>'TTUHSC FGD'!$I$19</f>
        <v>0</v>
      </c>
      <c r="J112" s="346">
        <f>'TTUHSC FGD'!$J$19</f>
        <v>0</v>
      </c>
      <c r="K112" s="346">
        <f>'TTUHSC FGD'!$K$19</f>
        <v>0</v>
      </c>
      <c r="L112" s="346">
        <f>'TTUHSC FGD'!$L$19</f>
        <v>0</v>
      </c>
      <c r="M112" s="346">
        <f>'TTUHSC FGD'!$M$19</f>
        <v>-3137114</v>
      </c>
    </row>
    <row r="113" spans="1:13" s="50" customFormat="1" ht="13.5" hidden="1" customHeight="1" outlineLevel="1">
      <c r="A113" s="293"/>
      <c r="B113" s="392" t="str">
        <f>'TTUHSCEP FGD'!$B$2</f>
        <v>Texas Tech University Health Sciences Center at El Paso</v>
      </c>
      <c r="C113" s="221"/>
      <c r="D113" s="346">
        <f>'TTUHSCEP FGD'!$D$19</f>
        <v>-251045</v>
      </c>
      <c r="E113" s="346">
        <f>'TTUHSCEP FGD'!$E$19</f>
        <v>0</v>
      </c>
      <c r="F113" s="346">
        <f>'TTUHSCEP FGD'!$F$19</f>
        <v>0</v>
      </c>
      <c r="G113" s="346">
        <f>'TTUHSCEP FGD'!$G$19</f>
        <v>0</v>
      </c>
      <c r="H113" s="346">
        <f>'TTUHSCEP FGD'!$H$19</f>
        <v>0</v>
      </c>
      <c r="I113" s="346">
        <f>'TTUHSCEP FGD'!$I$19</f>
        <v>0</v>
      </c>
      <c r="J113" s="346">
        <f>'TTUHSCEP FGD'!$J$19</f>
        <v>0</v>
      </c>
      <c r="K113" s="346">
        <f>'TTUHSCEP FGD'!$K$19</f>
        <v>0</v>
      </c>
      <c r="L113" s="346">
        <f>'TTUHSCEP FGD'!$L$19</f>
        <v>0</v>
      </c>
      <c r="M113" s="346">
        <f>'TTUHSCEP FGD'!$M$19</f>
        <v>-251045</v>
      </c>
    </row>
    <row r="114" spans="1:13" s="50" customFormat="1" ht="13.5" hidden="1" customHeight="1" outlineLevel="1">
      <c r="A114" s="293"/>
      <c r="B114" s="392" t="str">
        <f>'UNTHSC FGD'!$B$2</f>
        <v>University of North Texas Health Science Center at Fort Worth</v>
      </c>
      <c r="C114" s="221"/>
      <c r="D114" s="346">
        <f>'UNTHSC FGD'!$D$19</f>
        <v>0</v>
      </c>
      <c r="E114" s="346">
        <f>'UNTHSC FGD'!$E$19</f>
        <v>0</v>
      </c>
      <c r="F114" s="346">
        <f>'UNTHSC FGD'!$F$19</f>
        <v>0</v>
      </c>
      <c r="G114" s="346">
        <f>'UNTHSC FGD'!$G$19</f>
        <v>0</v>
      </c>
      <c r="H114" s="346">
        <f>'UNTHSC FGD'!$H$19</f>
        <v>0</v>
      </c>
      <c r="I114" s="346">
        <f>'UNTHSC FGD'!$I$19</f>
        <v>0</v>
      </c>
      <c r="J114" s="346">
        <f>'UNTHSC FGD'!$J$19</f>
        <v>0</v>
      </c>
      <c r="K114" s="346">
        <f>'UNTHSC FGD'!$K$19</f>
        <v>0</v>
      </c>
      <c r="L114" s="346">
        <f>'UNTHSC FGD'!$L$19</f>
        <v>0</v>
      </c>
      <c r="M114" s="346">
        <f>'UNTHSC FGD'!$M$19</f>
        <v>0</v>
      </c>
    </row>
    <row r="115" spans="1:13" s="50" customFormat="1" ht="12.75" customHeight="1" collapsed="1">
      <c r="A115" s="293"/>
      <c r="B115" s="51" t="s">
        <v>638</v>
      </c>
      <c r="C115" s="51"/>
      <c r="D115" s="355">
        <f t="shared" ref="D115:M115" si="7">SUM(D103:D114)</f>
        <v>-26619784</v>
      </c>
      <c r="E115" s="355">
        <f t="shared" si="7"/>
        <v>-74085</v>
      </c>
      <c r="F115" s="355">
        <f t="shared" si="7"/>
        <v>0</v>
      </c>
      <c r="G115" s="355">
        <f t="shared" si="7"/>
        <v>0</v>
      </c>
      <c r="H115" s="355">
        <f t="shared" si="7"/>
        <v>0</v>
      </c>
      <c r="I115" s="355">
        <f t="shared" si="7"/>
        <v>0</v>
      </c>
      <c r="J115" s="355">
        <f t="shared" si="7"/>
        <v>0</v>
      </c>
      <c r="K115" s="355">
        <f t="shared" si="7"/>
        <v>0</v>
      </c>
      <c r="L115" s="355">
        <f t="shared" si="7"/>
        <v>0</v>
      </c>
      <c r="M115" s="357">
        <f t="shared" si="7"/>
        <v>-26693869</v>
      </c>
    </row>
    <row r="116" spans="1:13" s="50" customFormat="1" ht="12.75" hidden="1" customHeight="1" outlineLevel="1">
      <c r="A116" s="293"/>
      <c r="B116" s="392" t="str">
        <f>'AUSM FGD'!$B$2</f>
        <v>The University of Texas at Austin Medical School (M)</v>
      </c>
      <c r="C116" s="51"/>
      <c r="D116" s="355">
        <f>'AUSM FGD'!$D$20</f>
        <v>0</v>
      </c>
      <c r="E116" s="355">
        <f>'AUSM FGD'!$E$20</f>
        <v>0</v>
      </c>
      <c r="F116" s="355">
        <f>'AUSM FGD'!$F$20</f>
        <v>0</v>
      </c>
      <c r="G116" s="355">
        <f>'AUSM FGD'!$G$20</f>
        <v>0</v>
      </c>
      <c r="H116" s="355">
        <f>'AUSM FGD'!$H$20</f>
        <v>0</v>
      </c>
      <c r="I116" s="355">
        <f>'AUSM FGD'!$I$20</f>
        <v>0</v>
      </c>
      <c r="J116" s="355">
        <f>'AUSM FGD'!$J$20</f>
        <v>0</v>
      </c>
      <c r="K116" s="355">
        <f>'AUSM FGD'!$K$20</f>
        <v>0</v>
      </c>
      <c r="L116" s="355">
        <f>'AUSM FGD'!$L$20</f>
        <v>0</v>
      </c>
      <c r="M116" s="357">
        <f>'AUSM FGD'!$M$20</f>
        <v>0</v>
      </c>
    </row>
    <row r="117" spans="1:13" s="50" customFormat="1" ht="12.75" hidden="1" customHeight="1" outlineLevel="1">
      <c r="A117" s="293"/>
      <c r="B117" s="392" t="str">
        <f>'HSH FGD'!$B$2</f>
        <v>The University of Texas Health Science Center at Houston</v>
      </c>
      <c r="C117" s="51"/>
      <c r="D117" s="355">
        <f>'HSH FGD'!$D$20</f>
        <v>0</v>
      </c>
      <c r="E117" s="355">
        <f>'HSH FGD'!$E$20</f>
        <v>0</v>
      </c>
      <c r="F117" s="355">
        <f>'HSH FGD'!$F$20</f>
        <v>0</v>
      </c>
      <c r="G117" s="355">
        <f>'HSH FGD'!$G$20</f>
        <v>0</v>
      </c>
      <c r="H117" s="355">
        <f>'HSH FGD'!$H$20</f>
        <v>0</v>
      </c>
      <c r="I117" s="355">
        <f>'HSH FGD'!$I$20</f>
        <v>0</v>
      </c>
      <c r="J117" s="355">
        <f>'HSH FGD'!$J$20</f>
        <v>0</v>
      </c>
      <c r="K117" s="355">
        <f>'HSH FGD'!$K$20</f>
        <v>0</v>
      </c>
      <c r="L117" s="355">
        <f>'HSH FGD'!$L$20</f>
        <v>0</v>
      </c>
      <c r="M117" s="357">
        <f>'HSH FGD'!$M$20</f>
        <v>0</v>
      </c>
    </row>
    <row r="118" spans="1:13" s="50" customFormat="1" ht="12.75" hidden="1" customHeight="1" outlineLevel="1">
      <c r="A118" s="293"/>
      <c r="B118" s="392" t="str">
        <f>'HSSA FGD'!$B$2</f>
        <v>The University of Texas Health Science Center at San Antonio</v>
      </c>
      <c r="C118" s="51"/>
      <c r="D118" s="355">
        <f>'HSSA FGD'!$D$20</f>
        <v>0</v>
      </c>
      <c r="E118" s="355">
        <f>'HSSA FGD'!$E$20</f>
        <v>0</v>
      </c>
      <c r="F118" s="355">
        <f>'HSSA FGD'!$F$20</f>
        <v>0</v>
      </c>
      <c r="G118" s="355">
        <f>'HSSA FGD'!$G$20</f>
        <v>0</v>
      </c>
      <c r="H118" s="355">
        <f>'HSSA FGD'!$H$20</f>
        <v>0</v>
      </c>
      <c r="I118" s="355">
        <f>'HSSA FGD'!$I$20</f>
        <v>0</v>
      </c>
      <c r="J118" s="355">
        <f>'HSSA FGD'!$J$20</f>
        <v>0</v>
      </c>
      <c r="K118" s="355">
        <f>'HSSA FGD'!$K$20</f>
        <v>0</v>
      </c>
      <c r="L118" s="355">
        <f>'HSSA FGD'!$L$20</f>
        <v>0</v>
      </c>
      <c r="M118" s="357">
        <f>'HSSA FGD'!$M$20</f>
        <v>0</v>
      </c>
    </row>
    <row r="119" spans="1:13" s="50" customFormat="1" ht="12.75" hidden="1" customHeight="1" outlineLevel="1">
      <c r="A119" s="293"/>
      <c r="B119" s="392" t="str">
        <f>'MBG FGD'!$B$2</f>
        <v>The University of Texas Medical Branch at Galveston</v>
      </c>
      <c r="C119" s="51"/>
      <c r="D119" s="355">
        <f>'MBG FGD'!$D$20</f>
        <v>0</v>
      </c>
      <c r="E119" s="355">
        <f>'MBG FGD'!$E$20</f>
        <v>0</v>
      </c>
      <c r="F119" s="355">
        <f>'MBG FGD'!$F$20</f>
        <v>0</v>
      </c>
      <c r="G119" s="355">
        <f>'MBG FGD'!$G$20</f>
        <v>0</v>
      </c>
      <c r="H119" s="355">
        <f>'MBG FGD'!$H$20</f>
        <v>0</v>
      </c>
      <c r="I119" s="355">
        <f>'MBG FGD'!$I$20</f>
        <v>0</v>
      </c>
      <c r="J119" s="355">
        <f>'MBG FGD'!$J$20</f>
        <v>0</v>
      </c>
      <c r="K119" s="355">
        <f>'MBG FGD'!$K$20</f>
        <v>0</v>
      </c>
      <c r="L119" s="355">
        <f>'MBG FGD'!$L$20</f>
        <v>0</v>
      </c>
      <c r="M119" s="357">
        <f>'MBG FGD'!$M$20</f>
        <v>0</v>
      </c>
    </row>
    <row r="120" spans="1:13" s="50" customFormat="1" ht="12.75" hidden="1" customHeight="1" outlineLevel="1">
      <c r="A120" s="293"/>
      <c r="B120" s="392" t="str">
        <f>'MDA FGD'!$B$2</f>
        <v>The University of Texas M.D. Anderson Cancer Center</v>
      </c>
      <c r="C120" s="51"/>
      <c r="D120" s="355">
        <f>'MDA FGD'!$D$20</f>
        <v>0</v>
      </c>
      <c r="E120" s="355">
        <f>'MDA FGD'!$E$20</f>
        <v>0</v>
      </c>
      <c r="F120" s="355">
        <f>'MDA FGD'!$F$20</f>
        <v>0</v>
      </c>
      <c r="G120" s="355">
        <f>'MDA FGD'!$G$20</f>
        <v>0</v>
      </c>
      <c r="H120" s="355">
        <f>'MDA FGD'!$H$20</f>
        <v>0</v>
      </c>
      <c r="I120" s="355">
        <f>'MDA FGD'!$I$20</f>
        <v>0</v>
      </c>
      <c r="J120" s="355">
        <f>'MDA FGD'!$J$20</f>
        <v>0</v>
      </c>
      <c r="K120" s="355">
        <f>'MDA FGD'!$K$20</f>
        <v>0</v>
      </c>
      <c r="L120" s="355">
        <f>'MDA FGD'!$L$20</f>
        <v>0</v>
      </c>
      <c r="M120" s="357">
        <f>'MDA FGD'!$M$20</f>
        <v>0</v>
      </c>
    </row>
    <row r="121" spans="1:13" s="50" customFormat="1" ht="12.75" hidden="1" customHeight="1" outlineLevel="1">
      <c r="A121" s="293"/>
      <c r="B121" s="392" t="str">
        <f>'RGVM FGD'!$B$2</f>
        <v>The University of Texas Rio Grande Valley Medical School (M)</v>
      </c>
      <c r="C121" s="51"/>
      <c r="D121" s="355">
        <f>'RGVM FGD'!$D$20</f>
        <v>0</v>
      </c>
      <c r="E121" s="355">
        <f>'RGVM FGD'!$E$20</f>
        <v>0</v>
      </c>
      <c r="F121" s="355">
        <f>'RGVM FGD'!$F$20</f>
        <v>0</v>
      </c>
      <c r="G121" s="355">
        <f>'RGVM FGD'!$G$20</f>
        <v>0</v>
      </c>
      <c r="H121" s="355">
        <f>'RGVM FGD'!$H$20</f>
        <v>0</v>
      </c>
      <c r="I121" s="355">
        <f>'RGVM FGD'!$I$20</f>
        <v>0</v>
      </c>
      <c r="J121" s="355">
        <f>'RGVM FGD'!$J$20</f>
        <v>0</v>
      </c>
      <c r="K121" s="355">
        <f>'RGVM FGD'!$K$20</f>
        <v>0</v>
      </c>
      <c r="L121" s="355">
        <f>'RGVM FGD'!$L$20</f>
        <v>0</v>
      </c>
      <c r="M121" s="357">
        <f>'RGVM FGD'!$M$20</f>
        <v>0</v>
      </c>
    </row>
    <row r="122" spans="1:13" s="50" customFormat="1" ht="12.75" hidden="1" customHeight="1" outlineLevel="1">
      <c r="A122" s="293"/>
      <c r="B122" s="392" t="str">
        <f>'SWM FGD'!$B$2</f>
        <v>The University of Texas Southwestern Medical Center</v>
      </c>
      <c r="C122" s="51"/>
      <c r="D122" s="355">
        <f>'SWM FGD'!$D$20</f>
        <v>0</v>
      </c>
      <c r="E122" s="355">
        <f>'SWM FGD'!$E$20</f>
        <v>0</v>
      </c>
      <c r="F122" s="355">
        <f>'SWM FGD'!$F$20</f>
        <v>0</v>
      </c>
      <c r="G122" s="355">
        <f>'SWM FGD'!$G$20</f>
        <v>0</v>
      </c>
      <c r="H122" s="355">
        <f>'SWM FGD'!$H$20</f>
        <v>0</v>
      </c>
      <c r="I122" s="355">
        <f>'SWM FGD'!$I$20</f>
        <v>0</v>
      </c>
      <c r="J122" s="355">
        <f>'SWM FGD'!$J$20</f>
        <v>0</v>
      </c>
      <c r="K122" s="355">
        <f>'SWM FGD'!$K$20</f>
        <v>0</v>
      </c>
      <c r="L122" s="355">
        <f>'SWM FGD'!$L$20</f>
        <v>0</v>
      </c>
      <c r="M122" s="357">
        <f>'SWM FGD'!$M$20</f>
        <v>0</v>
      </c>
    </row>
    <row r="123" spans="1:13" s="50" customFormat="1" ht="12.75" hidden="1" customHeight="1" outlineLevel="1">
      <c r="A123" s="293"/>
      <c r="B123" s="392" t="str">
        <f>'TAMHSC FGD'!$B$2</f>
        <v>Texas A&amp;M University System Health Science Center</v>
      </c>
      <c r="C123" s="51"/>
      <c r="D123" s="355">
        <f>'TAMHSC FGD'!$D$20</f>
        <v>0</v>
      </c>
      <c r="E123" s="355">
        <f>'TAMHSC FGD'!$E$20</f>
        <v>0</v>
      </c>
      <c r="F123" s="355">
        <f>'TAMHSC FGD'!$F$20</f>
        <v>0</v>
      </c>
      <c r="G123" s="355">
        <f>'TAMHSC FGD'!$G$20</f>
        <v>0</v>
      </c>
      <c r="H123" s="355">
        <f>'TAMHSC FGD'!$H$20</f>
        <v>0</v>
      </c>
      <c r="I123" s="355">
        <f>'TAMHSC FGD'!$I$20</f>
        <v>0</v>
      </c>
      <c r="J123" s="355">
        <f>'TAMHSC FGD'!$J$20</f>
        <v>0</v>
      </c>
      <c r="K123" s="355">
        <f>'TAMHSC FGD'!$K$20</f>
        <v>0</v>
      </c>
      <c r="L123" s="355">
        <f>'TAMHSC FGD'!$L$20</f>
        <v>0</v>
      </c>
      <c r="M123" s="357">
        <f>'TAMHSC FGD'!$M$20</f>
        <v>0</v>
      </c>
    </row>
    <row r="124" spans="1:13" s="50" customFormat="1" ht="12.75" hidden="1" customHeight="1" outlineLevel="1">
      <c r="A124" s="293"/>
      <c r="B124" s="392" t="str">
        <f>'THC FGD'!$B$2</f>
        <v>The University of Texas Health Science Center at Tyler</v>
      </c>
      <c r="C124" s="51"/>
      <c r="D124" s="355">
        <f>'THC FGD'!$D$20</f>
        <v>-49140</v>
      </c>
      <c r="E124" s="355">
        <f>'THC FGD'!$E$20</f>
        <v>0</v>
      </c>
      <c r="F124" s="355">
        <f>'THC FGD'!$F$20</f>
        <v>0</v>
      </c>
      <c r="G124" s="355">
        <f>'THC FGD'!$G$20</f>
        <v>0</v>
      </c>
      <c r="H124" s="355">
        <f>'THC FGD'!$H$20</f>
        <v>0</v>
      </c>
      <c r="I124" s="355">
        <f>'THC FGD'!$I$20</f>
        <v>0</v>
      </c>
      <c r="J124" s="355">
        <f>'THC FGD'!$J$20</f>
        <v>0</v>
      </c>
      <c r="K124" s="355">
        <f>'THC FGD'!$K$20</f>
        <v>0</v>
      </c>
      <c r="L124" s="355">
        <f>'THC FGD'!$L$20</f>
        <v>0</v>
      </c>
      <c r="M124" s="357">
        <f>'THC FGD'!$M$20</f>
        <v>-49140</v>
      </c>
    </row>
    <row r="125" spans="1:13" s="50" customFormat="1" ht="12.75" hidden="1" customHeight="1" outlineLevel="1">
      <c r="A125" s="293"/>
      <c r="B125" s="392" t="str">
        <f>'TTUHSC FGD'!$B$2</f>
        <v>Texas Tech University Health Sciences Center</v>
      </c>
      <c r="C125" s="51"/>
      <c r="D125" s="355">
        <f>'TTUHSC FGD'!$D$20</f>
        <v>0</v>
      </c>
      <c r="E125" s="355">
        <f>'TTUHSC FGD'!$E$20</f>
        <v>0</v>
      </c>
      <c r="F125" s="355">
        <f>'TTUHSC FGD'!$F$20</f>
        <v>0</v>
      </c>
      <c r="G125" s="355">
        <f>'TTUHSC FGD'!$G$20</f>
        <v>0</v>
      </c>
      <c r="H125" s="355">
        <f>'TTUHSC FGD'!$H$20</f>
        <v>0</v>
      </c>
      <c r="I125" s="355">
        <f>'TTUHSC FGD'!$I$20</f>
        <v>0</v>
      </c>
      <c r="J125" s="355">
        <f>'TTUHSC FGD'!$J$20</f>
        <v>0</v>
      </c>
      <c r="K125" s="355">
        <f>'TTUHSC FGD'!$K$20</f>
        <v>0</v>
      </c>
      <c r="L125" s="355">
        <f>'TTUHSC FGD'!$L$20</f>
        <v>0</v>
      </c>
      <c r="M125" s="357">
        <f>'TTUHSC FGD'!$M$20</f>
        <v>0</v>
      </c>
    </row>
    <row r="126" spans="1:13" s="50" customFormat="1" ht="12.75" hidden="1" customHeight="1" outlineLevel="1">
      <c r="A126" s="293"/>
      <c r="B126" s="392" t="str">
        <f>'TTUHSCEP FGD'!$B$2</f>
        <v>Texas Tech University Health Sciences Center at El Paso</v>
      </c>
      <c r="C126" s="51"/>
      <c r="D126" s="355">
        <f>'TTUHSCEP FGD'!$D$20</f>
        <v>0</v>
      </c>
      <c r="E126" s="355">
        <f>'TTUHSCEP FGD'!$E$20</f>
        <v>0</v>
      </c>
      <c r="F126" s="355">
        <f>'TTUHSCEP FGD'!$F$20</f>
        <v>0</v>
      </c>
      <c r="G126" s="355">
        <f>'TTUHSCEP FGD'!$G$20</f>
        <v>0</v>
      </c>
      <c r="H126" s="355">
        <f>'TTUHSCEP FGD'!$H$20</f>
        <v>0</v>
      </c>
      <c r="I126" s="355">
        <f>'TTUHSCEP FGD'!$I$20</f>
        <v>0</v>
      </c>
      <c r="J126" s="355">
        <f>'TTUHSCEP FGD'!$J$20</f>
        <v>0</v>
      </c>
      <c r="K126" s="355">
        <f>'TTUHSCEP FGD'!$K$20</f>
        <v>0</v>
      </c>
      <c r="L126" s="355">
        <f>'TTUHSCEP FGD'!$L$20</f>
        <v>0</v>
      </c>
      <c r="M126" s="357">
        <f>'TTUHSCEP FGD'!$M$20</f>
        <v>0</v>
      </c>
    </row>
    <row r="127" spans="1:13" s="50" customFormat="1" ht="12.75" hidden="1" customHeight="1" outlineLevel="1">
      <c r="A127" s="293"/>
      <c r="B127" s="392" t="str">
        <f>'UNTHSC FGD'!$B$2</f>
        <v>University of North Texas Health Science Center at Fort Worth</v>
      </c>
      <c r="C127" s="51"/>
      <c r="D127" s="355">
        <f>'UNTHSC FGD'!$D$20</f>
        <v>-1330007</v>
      </c>
      <c r="E127" s="355">
        <f>'UNTHSC FGD'!$E$20</f>
        <v>-408479</v>
      </c>
      <c r="F127" s="355">
        <f>'UNTHSC FGD'!$F$20</f>
        <v>0</v>
      </c>
      <c r="G127" s="355">
        <f>'UNTHSC FGD'!$G$20</f>
        <v>0</v>
      </c>
      <c r="H127" s="355">
        <f>'UNTHSC FGD'!$H$20</f>
        <v>0</v>
      </c>
      <c r="I127" s="355">
        <f>'UNTHSC FGD'!$I$20</f>
        <v>0</v>
      </c>
      <c r="J127" s="355">
        <f>'UNTHSC FGD'!$J$20</f>
        <v>0</v>
      </c>
      <c r="K127" s="355">
        <f>'UNTHSC FGD'!$K$20</f>
        <v>0</v>
      </c>
      <c r="L127" s="355">
        <f>'UNTHSC FGD'!$L$20</f>
        <v>0</v>
      </c>
      <c r="M127" s="357">
        <f>'UNTHSC FGD'!$M$20</f>
        <v>-1738486</v>
      </c>
    </row>
    <row r="128" spans="1:13" s="50" customFormat="1" ht="12.75" customHeight="1" collapsed="1">
      <c r="A128" s="293"/>
      <c r="B128" s="51" t="s">
        <v>639</v>
      </c>
      <c r="C128" s="51"/>
      <c r="D128" s="355">
        <f t="shared" ref="D128:M128" si="8">SUM(D116:D127)</f>
        <v>-1379147</v>
      </c>
      <c r="E128" s="355">
        <f t="shared" si="8"/>
        <v>-408479</v>
      </c>
      <c r="F128" s="355">
        <f t="shared" si="8"/>
        <v>0</v>
      </c>
      <c r="G128" s="355">
        <f t="shared" si="8"/>
        <v>0</v>
      </c>
      <c r="H128" s="355">
        <f t="shared" si="8"/>
        <v>0</v>
      </c>
      <c r="I128" s="355">
        <f t="shared" si="8"/>
        <v>0</v>
      </c>
      <c r="J128" s="355">
        <f t="shared" si="8"/>
        <v>0</v>
      </c>
      <c r="K128" s="355">
        <f t="shared" si="8"/>
        <v>0</v>
      </c>
      <c r="L128" s="355">
        <f t="shared" si="8"/>
        <v>0</v>
      </c>
      <c r="M128" s="357">
        <f t="shared" si="8"/>
        <v>-1787626</v>
      </c>
    </row>
    <row r="129" spans="1:13" s="50" customFormat="1" ht="12.75" hidden="1" customHeight="1" outlineLevel="1">
      <c r="A129" s="293"/>
      <c r="B129" s="392" t="str">
        <f>'AUSM FGD'!$B$2</f>
        <v>The University of Texas at Austin Medical School (M)</v>
      </c>
      <c r="C129" s="51"/>
      <c r="D129" s="355">
        <f>'AUSM FGD'!$D$21</f>
        <v>0</v>
      </c>
      <c r="E129" s="355">
        <f>'AUSM FGD'!$E$21</f>
        <v>0</v>
      </c>
      <c r="F129" s="355">
        <f>'AUSM FGD'!$F$21</f>
        <v>0</v>
      </c>
      <c r="G129" s="355">
        <f>'AUSM FGD'!$G$21</f>
        <v>0</v>
      </c>
      <c r="H129" s="355">
        <f>'AUSM FGD'!$H$21</f>
        <v>0</v>
      </c>
      <c r="I129" s="355">
        <f>'AUSM FGD'!$I$21</f>
        <v>0</v>
      </c>
      <c r="J129" s="355">
        <f>'AUSM FGD'!$J$21</f>
        <v>0</v>
      </c>
      <c r="K129" s="355">
        <f>'AUSM FGD'!$K$21</f>
        <v>0</v>
      </c>
      <c r="L129" s="355">
        <f>'AUSM FGD'!$L$21</f>
        <v>0</v>
      </c>
      <c r="M129" s="357">
        <f>'AUSM FGD'!$M$21</f>
        <v>0</v>
      </c>
    </row>
    <row r="130" spans="1:13" s="50" customFormat="1" ht="12.75" hidden="1" customHeight="1" outlineLevel="1">
      <c r="A130" s="293"/>
      <c r="B130" s="392" t="str">
        <f>'HSH FGD'!$B$2</f>
        <v>The University of Texas Health Science Center at Houston</v>
      </c>
      <c r="C130" s="51"/>
      <c r="D130" s="355">
        <f>'HSH FGD'!$D$21</f>
        <v>0</v>
      </c>
      <c r="E130" s="355">
        <f>'HSH FGD'!$E$21</f>
        <v>0</v>
      </c>
      <c r="F130" s="355">
        <f>'HSH FGD'!$F$21</f>
        <v>0</v>
      </c>
      <c r="G130" s="355">
        <f>'HSH FGD'!$G$21</f>
        <v>0</v>
      </c>
      <c r="H130" s="355">
        <f>'HSH FGD'!$H$21</f>
        <v>0</v>
      </c>
      <c r="I130" s="355">
        <f>'HSH FGD'!$I$21</f>
        <v>0</v>
      </c>
      <c r="J130" s="355">
        <f>'HSH FGD'!$J$21</f>
        <v>0</v>
      </c>
      <c r="K130" s="355">
        <f>'HSH FGD'!$K$21</f>
        <v>0</v>
      </c>
      <c r="L130" s="355">
        <f>'HSH FGD'!$L$21</f>
        <v>0</v>
      </c>
      <c r="M130" s="357">
        <f>'HSH FGD'!$M$21</f>
        <v>0</v>
      </c>
    </row>
    <row r="131" spans="1:13" s="50" customFormat="1" ht="12.75" hidden="1" customHeight="1" outlineLevel="1">
      <c r="A131" s="293"/>
      <c r="B131" s="392" t="str">
        <f>'HSSA FGD'!$B$2</f>
        <v>The University of Texas Health Science Center at San Antonio</v>
      </c>
      <c r="C131" s="51"/>
      <c r="D131" s="355">
        <f>'HSSA FGD'!$D$21</f>
        <v>0</v>
      </c>
      <c r="E131" s="355">
        <f>'HSSA FGD'!$E$21</f>
        <v>0</v>
      </c>
      <c r="F131" s="355">
        <f>'HSSA FGD'!$F$21</f>
        <v>0</v>
      </c>
      <c r="G131" s="355">
        <f>'HSSA FGD'!$G$21</f>
        <v>0</v>
      </c>
      <c r="H131" s="355">
        <f>'HSSA FGD'!$H$21</f>
        <v>0</v>
      </c>
      <c r="I131" s="355">
        <f>'HSSA FGD'!$I$21</f>
        <v>0</v>
      </c>
      <c r="J131" s="355">
        <f>'HSSA FGD'!$J$21</f>
        <v>0</v>
      </c>
      <c r="K131" s="355">
        <f>'HSSA FGD'!$K$21</f>
        <v>0</v>
      </c>
      <c r="L131" s="355">
        <f>'HSSA FGD'!$L$21</f>
        <v>0</v>
      </c>
      <c r="M131" s="357">
        <f>'HSSA FGD'!$M$21</f>
        <v>0</v>
      </c>
    </row>
    <row r="132" spans="1:13" s="50" customFormat="1" ht="12.75" hidden="1" customHeight="1" outlineLevel="1">
      <c r="A132" s="293"/>
      <c r="B132" s="392" t="str">
        <f>'MBG FGD'!$B$2</f>
        <v>The University of Texas Medical Branch at Galveston</v>
      </c>
      <c r="C132" s="51"/>
      <c r="D132" s="355">
        <f>'MBG FGD'!$D$21</f>
        <v>0</v>
      </c>
      <c r="E132" s="355">
        <f>'MBG FGD'!$E$21</f>
        <v>0</v>
      </c>
      <c r="F132" s="355">
        <f>'MBG FGD'!$F$21</f>
        <v>0</v>
      </c>
      <c r="G132" s="355">
        <f>'MBG FGD'!$G$21</f>
        <v>0</v>
      </c>
      <c r="H132" s="355">
        <f>'MBG FGD'!$H$21</f>
        <v>0</v>
      </c>
      <c r="I132" s="355">
        <f>'MBG FGD'!$I$21</f>
        <v>0</v>
      </c>
      <c r="J132" s="355">
        <f>'MBG FGD'!$J$21</f>
        <v>0</v>
      </c>
      <c r="K132" s="355">
        <f>'MBG FGD'!$K$21</f>
        <v>0</v>
      </c>
      <c r="L132" s="355">
        <f>'MBG FGD'!$L$21</f>
        <v>0</v>
      </c>
      <c r="M132" s="357">
        <f>'MBG FGD'!$M$21</f>
        <v>0</v>
      </c>
    </row>
    <row r="133" spans="1:13" s="50" customFormat="1" ht="12.75" hidden="1" customHeight="1" outlineLevel="1">
      <c r="A133" s="293"/>
      <c r="B133" s="392" t="str">
        <f>'MDA FGD'!$B$2</f>
        <v>The University of Texas M.D. Anderson Cancer Center</v>
      </c>
      <c r="C133" s="51"/>
      <c r="D133" s="355">
        <f>'MDA FGD'!$D$21</f>
        <v>0</v>
      </c>
      <c r="E133" s="355">
        <f>'MDA FGD'!$E$21</f>
        <v>0</v>
      </c>
      <c r="F133" s="355">
        <f>'MDA FGD'!$F$21</f>
        <v>0</v>
      </c>
      <c r="G133" s="355">
        <f>'MDA FGD'!$G$21</f>
        <v>0</v>
      </c>
      <c r="H133" s="355">
        <f>'MDA FGD'!$H$21</f>
        <v>0</v>
      </c>
      <c r="I133" s="355">
        <f>'MDA FGD'!$I$21</f>
        <v>0</v>
      </c>
      <c r="J133" s="355">
        <f>'MDA FGD'!$J$21</f>
        <v>0</v>
      </c>
      <c r="K133" s="355">
        <f>'MDA FGD'!$K$21</f>
        <v>0</v>
      </c>
      <c r="L133" s="355">
        <f>'MDA FGD'!$L$21</f>
        <v>0</v>
      </c>
      <c r="M133" s="357">
        <f>'MDA FGD'!$M$21</f>
        <v>0</v>
      </c>
    </row>
    <row r="134" spans="1:13" s="50" customFormat="1" ht="12.75" hidden="1" customHeight="1" outlineLevel="1">
      <c r="A134" s="293"/>
      <c r="B134" s="392" t="str">
        <f>'RGVM FGD'!$B$2</f>
        <v>The University of Texas Rio Grande Valley Medical School (M)</v>
      </c>
      <c r="C134" s="51"/>
      <c r="D134" s="355">
        <f>'RGVM FGD'!$D$21</f>
        <v>0</v>
      </c>
      <c r="E134" s="355">
        <f>'RGVM FGD'!$E$21</f>
        <v>0</v>
      </c>
      <c r="F134" s="355">
        <f>'RGVM FGD'!$F$21</f>
        <v>0</v>
      </c>
      <c r="G134" s="355">
        <f>'RGVM FGD'!$G$21</f>
        <v>0</v>
      </c>
      <c r="H134" s="355">
        <f>'RGVM FGD'!$H$21</f>
        <v>0</v>
      </c>
      <c r="I134" s="355">
        <f>'RGVM FGD'!$I$21</f>
        <v>0</v>
      </c>
      <c r="J134" s="355">
        <f>'RGVM FGD'!$J$21</f>
        <v>0</v>
      </c>
      <c r="K134" s="355">
        <f>'RGVM FGD'!$K$21</f>
        <v>0</v>
      </c>
      <c r="L134" s="355">
        <f>'RGVM FGD'!$L$21</f>
        <v>0</v>
      </c>
      <c r="M134" s="357">
        <f>'RGVM FGD'!$M$21</f>
        <v>0</v>
      </c>
    </row>
    <row r="135" spans="1:13" s="50" customFormat="1" ht="12.75" hidden="1" customHeight="1" outlineLevel="1">
      <c r="A135" s="293"/>
      <c r="B135" s="392" t="str">
        <f>'SWM FGD'!$B$2</f>
        <v>The University of Texas Southwestern Medical Center</v>
      </c>
      <c r="C135" s="51"/>
      <c r="D135" s="355">
        <f>'SWM FGD'!$D$21</f>
        <v>0</v>
      </c>
      <c r="E135" s="355">
        <f>'SWM FGD'!$E$21</f>
        <v>0</v>
      </c>
      <c r="F135" s="355">
        <f>'SWM FGD'!$F$21</f>
        <v>0</v>
      </c>
      <c r="G135" s="355">
        <f>'SWM FGD'!$G$21</f>
        <v>0</v>
      </c>
      <c r="H135" s="355">
        <f>'SWM FGD'!$H$21</f>
        <v>0</v>
      </c>
      <c r="I135" s="355">
        <f>'SWM FGD'!$I$21</f>
        <v>0</v>
      </c>
      <c r="J135" s="355">
        <f>'SWM FGD'!$J$21</f>
        <v>0</v>
      </c>
      <c r="K135" s="355">
        <f>'SWM FGD'!$K$21</f>
        <v>0</v>
      </c>
      <c r="L135" s="355">
        <f>'SWM FGD'!$L$21</f>
        <v>0</v>
      </c>
      <c r="M135" s="357">
        <f>'SWM FGD'!$M$21</f>
        <v>0</v>
      </c>
    </row>
    <row r="136" spans="1:13" s="50" customFormat="1" ht="12.75" hidden="1" customHeight="1" outlineLevel="1">
      <c r="A136" s="293"/>
      <c r="B136" s="392" t="str">
        <f>'TAMHSC FGD'!$B$2</f>
        <v>Texas A&amp;M University System Health Science Center</v>
      </c>
      <c r="C136" s="51"/>
      <c r="D136" s="355">
        <f>'TAMHSC FGD'!$D$21</f>
        <v>0</v>
      </c>
      <c r="E136" s="355">
        <f>'TAMHSC FGD'!$E$21</f>
        <v>0</v>
      </c>
      <c r="F136" s="355">
        <f>'TAMHSC FGD'!$F$21</f>
        <v>0</v>
      </c>
      <c r="G136" s="355">
        <f>'TAMHSC FGD'!$G$21</f>
        <v>0</v>
      </c>
      <c r="H136" s="355">
        <f>'TAMHSC FGD'!$H$21</f>
        <v>0</v>
      </c>
      <c r="I136" s="355">
        <f>'TAMHSC FGD'!$I$21</f>
        <v>0</v>
      </c>
      <c r="J136" s="355">
        <f>'TAMHSC FGD'!$J$21</f>
        <v>0</v>
      </c>
      <c r="K136" s="355">
        <f>'TAMHSC FGD'!$K$21</f>
        <v>0</v>
      </c>
      <c r="L136" s="355">
        <f>'TAMHSC FGD'!$L$21</f>
        <v>0</v>
      </c>
      <c r="M136" s="357">
        <f>'TAMHSC FGD'!$M$21</f>
        <v>0</v>
      </c>
    </row>
    <row r="137" spans="1:13" s="50" customFormat="1" ht="12.75" hidden="1" customHeight="1" outlineLevel="1">
      <c r="A137" s="293"/>
      <c r="B137" s="392" t="str">
        <f>'THC FGD'!$B$2</f>
        <v>The University of Texas Health Science Center at Tyler</v>
      </c>
      <c r="C137" s="51"/>
      <c r="D137" s="355">
        <f>'THC FGD'!$D$21</f>
        <v>0</v>
      </c>
      <c r="E137" s="355">
        <f>'THC FGD'!$E$21</f>
        <v>0</v>
      </c>
      <c r="F137" s="355">
        <f>'THC FGD'!$F$21</f>
        <v>0</v>
      </c>
      <c r="G137" s="355">
        <f>'THC FGD'!$G$21</f>
        <v>0</v>
      </c>
      <c r="H137" s="355">
        <f>'THC FGD'!$H$21</f>
        <v>0</v>
      </c>
      <c r="I137" s="355">
        <f>'THC FGD'!$I$21</f>
        <v>0</v>
      </c>
      <c r="J137" s="355">
        <f>'THC FGD'!$J$21</f>
        <v>0</v>
      </c>
      <c r="K137" s="355">
        <f>'THC FGD'!$K$21</f>
        <v>0</v>
      </c>
      <c r="L137" s="355">
        <f>'THC FGD'!$L$21</f>
        <v>0</v>
      </c>
      <c r="M137" s="357">
        <f>'THC FGD'!$M$21</f>
        <v>0</v>
      </c>
    </row>
    <row r="138" spans="1:13" s="50" customFormat="1" ht="12.75" hidden="1" customHeight="1" outlineLevel="1">
      <c r="A138" s="293"/>
      <c r="B138" s="392" t="str">
        <f>'TTUHSC FGD'!$B$2</f>
        <v>Texas Tech University Health Sciences Center</v>
      </c>
      <c r="C138" s="51"/>
      <c r="D138" s="355">
        <f>'TTUHSC FGD'!$D$21</f>
        <v>0</v>
      </c>
      <c r="E138" s="355">
        <f>'TTUHSC FGD'!$E$21</f>
        <v>0</v>
      </c>
      <c r="F138" s="355">
        <f>'TTUHSC FGD'!$F$21</f>
        <v>0</v>
      </c>
      <c r="G138" s="355">
        <f>'TTUHSC FGD'!$G$21</f>
        <v>0</v>
      </c>
      <c r="H138" s="355">
        <f>'TTUHSC FGD'!$H$21</f>
        <v>0</v>
      </c>
      <c r="I138" s="355">
        <f>'TTUHSC FGD'!$I$21</f>
        <v>0</v>
      </c>
      <c r="J138" s="355">
        <f>'TTUHSC FGD'!$J$21</f>
        <v>0</v>
      </c>
      <c r="K138" s="355">
        <f>'TTUHSC FGD'!$K$21</f>
        <v>0</v>
      </c>
      <c r="L138" s="355">
        <f>'TTUHSC FGD'!$L$21</f>
        <v>0</v>
      </c>
      <c r="M138" s="357">
        <f>'TTUHSC FGD'!$M$21</f>
        <v>0</v>
      </c>
    </row>
    <row r="139" spans="1:13" s="50" customFormat="1" ht="12.75" hidden="1" customHeight="1" outlineLevel="1">
      <c r="A139" s="293"/>
      <c r="B139" s="392" t="str">
        <f>'TTUHSCEP FGD'!$B$2</f>
        <v>Texas Tech University Health Sciences Center at El Paso</v>
      </c>
      <c r="C139" s="51"/>
      <c r="D139" s="355">
        <f>'TTUHSCEP FGD'!$D$21</f>
        <v>0</v>
      </c>
      <c r="E139" s="355">
        <f>'TTUHSCEP FGD'!$E$21</f>
        <v>0</v>
      </c>
      <c r="F139" s="355">
        <f>'TTUHSCEP FGD'!$F$21</f>
        <v>0</v>
      </c>
      <c r="G139" s="355">
        <f>'TTUHSCEP FGD'!$G$21</f>
        <v>0</v>
      </c>
      <c r="H139" s="355">
        <f>'TTUHSCEP FGD'!$H$21</f>
        <v>0</v>
      </c>
      <c r="I139" s="355">
        <f>'TTUHSCEP FGD'!$I$21</f>
        <v>0</v>
      </c>
      <c r="J139" s="355">
        <f>'TTUHSCEP FGD'!$J$21</f>
        <v>0</v>
      </c>
      <c r="K139" s="355">
        <f>'TTUHSCEP FGD'!$K$21</f>
        <v>0</v>
      </c>
      <c r="L139" s="355">
        <f>'TTUHSCEP FGD'!$L$21</f>
        <v>0</v>
      </c>
      <c r="M139" s="357">
        <f>'TTUHSCEP FGD'!$M$21</f>
        <v>0</v>
      </c>
    </row>
    <row r="140" spans="1:13" s="50" customFormat="1" ht="12.75" hidden="1" customHeight="1" outlineLevel="1">
      <c r="A140" s="293"/>
      <c r="B140" s="392" t="str">
        <f>'UNTHSC FGD'!$B$2</f>
        <v>University of North Texas Health Science Center at Fort Worth</v>
      </c>
      <c r="C140" s="51"/>
      <c r="D140" s="355">
        <f>'UNTHSC FGD'!$D$21</f>
        <v>0</v>
      </c>
      <c r="E140" s="355">
        <f>'UNTHSC FGD'!$E$21</f>
        <v>0</v>
      </c>
      <c r="F140" s="355">
        <f>'UNTHSC FGD'!$F$21</f>
        <v>0</v>
      </c>
      <c r="G140" s="355">
        <f>'UNTHSC FGD'!$G$21</f>
        <v>0</v>
      </c>
      <c r="H140" s="355">
        <f>'UNTHSC FGD'!$H$21</f>
        <v>0</v>
      </c>
      <c r="I140" s="355">
        <f>'UNTHSC FGD'!$I$21</f>
        <v>0</v>
      </c>
      <c r="J140" s="355">
        <f>'UNTHSC FGD'!$J$21</f>
        <v>0</v>
      </c>
      <c r="K140" s="355">
        <f>'UNTHSC FGD'!$K$21</f>
        <v>0</v>
      </c>
      <c r="L140" s="355">
        <f>'UNTHSC FGD'!$L$21</f>
        <v>0</v>
      </c>
      <c r="M140" s="357">
        <f>'UNTHSC FGD'!$M$21</f>
        <v>0</v>
      </c>
    </row>
    <row r="141" spans="1:13" s="50" customFormat="1" collapsed="1">
      <c r="A141" s="293"/>
      <c r="B141" s="51" t="s">
        <v>640</v>
      </c>
      <c r="C141" s="51"/>
      <c r="D141" s="355">
        <f t="shared" ref="D141:M141" si="9">SUM(D129:D140)</f>
        <v>0</v>
      </c>
      <c r="E141" s="355">
        <f t="shared" si="9"/>
        <v>0</v>
      </c>
      <c r="F141" s="355">
        <f t="shared" si="9"/>
        <v>0</v>
      </c>
      <c r="G141" s="355">
        <f t="shared" si="9"/>
        <v>0</v>
      </c>
      <c r="H141" s="355">
        <f t="shared" si="9"/>
        <v>0</v>
      </c>
      <c r="I141" s="355">
        <f t="shared" si="9"/>
        <v>0</v>
      </c>
      <c r="J141" s="355">
        <f t="shared" si="9"/>
        <v>0</v>
      </c>
      <c r="K141" s="355">
        <f t="shared" si="9"/>
        <v>0</v>
      </c>
      <c r="L141" s="355">
        <f t="shared" si="9"/>
        <v>0</v>
      </c>
      <c r="M141" s="357">
        <f t="shared" si="9"/>
        <v>0</v>
      </c>
    </row>
    <row r="142" spans="1:13" s="50" customFormat="1" hidden="1" outlineLevel="1">
      <c r="A142" s="293"/>
      <c r="B142" s="392" t="str">
        <f>'AUSM FGD'!$B$2</f>
        <v>The University of Texas at Austin Medical School (M)</v>
      </c>
      <c r="C142" s="51"/>
      <c r="D142" s="355">
        <f>'AUSM FGD'!$D$22</f>
        <v>0</v>
      </c>
      <c r="E142" s="355">
        <f>'AUSM FGD'!$E$22</f>
        <v>0</v>
      </c>
      <c r="F142" s="355">
        <f>'AUSM FGD'!$F$22</f>
        <v>0</v>
      </c>
      <c r="G142" s="355">
        <f>'AUSM FGD'!$G$22</f>
        <v>0</v>
      </c>
      <c r="H142" s="355">
        <f>'AUSM FGD'!$H$22</f>
        <v>0</v>
      </c>
      <c r="I142" s="355">
        <f>'AUSM FGD'!$I$22</f>
        <v>0</v>
      </c>
      <c r="J142" s="355">
        <f>'AUSM FGD'!$J$22</f>
        <v>0</v>
      </c>
      <c r="K142" s="355">
        <f>'AUSM FGD'!$K$22</f>
        <v>0</v>
      </c>
      <c r="L142" s="355">
        <f>'AUSM FGD'!$L$22</f>
        <v>0</v>
      </c>
      <c r="M142" s="357">
        <f>'AUSM FGD'!$M$22</f>
        <v>0</v>
      </c>
    </row>
    <row r="143" spans="1:13" s="50" customFormat="1" hidden="1" outlineLevel="1">
      <c r="A143" s="293"/>
      <c r="B143" s="392" t="str">
        <f>'HSH FGD'!$B$2</f>
        <v>The University of Texas Health Science Center at Houston</v>
      </c>
      <c r="C143" s="51"/>
      <c r="D143" s="355">
        <f>'HSH FGD'!$D$22</f>
        <v>0</v>
      </c>
      <c r="E143" s="355">
        <f>'HSH FGD'!$E$22</f>
        <v>0</v>
      </c>
      <c r="F143" s="355">
        <f>'HSH FGD'!$F$22</f>
        <v>0</v>
      </c>
      <c r="G143" s="355">
        <f>'HSH FGD'!$G$22</f>
        <v>0</v>
      </c>
      <c r="H143" s="355">
        <f>'HSH FGD'!$H$22</f>
        <v>0</v>
      </c>
      <c r="I143" s="355">
        <f>'HSH FGD'!$I$22</f>
        <v>0</v>
      </c>
      <c r="J143" s="355">
        <f>'HSH FGD'!$J$22</f>
        <v>0</v>
      </c>
      <c r="K143" s="355">
        <f>'HSH FGD'!$K$22</f>
        <v>0</v>
      </c>
      <c r="L143" s="355">
        <f>'HSH FGD'!$L$22</f>
        <v>0</v>
      </c>
      <c r="M143" s="357">
        <f>'HSH FGD'!$M$22</f>
        <v>0</v>
      </c>
    </row>
    <row r="144" spans="1:13" s="50" customFormat="1" hidden="1" outlineLevel="1">
      <c r="A144" s="293"/>
      <c r="B144" s="392" t="str">
        <f>'HSSA FGD'!$B$2</f>
        <v>The University of Texas Health Science Center at San Antonio</v>
      </c>
      <c r="C144" s="51"/>
      <c r="D144" s="355">
        <f>'HSSA FGD'!$D$22</f>
        <v>0</v>
      </c>
      <c r="E144" s="355">
        <f>'HSSA FGD'!$E$22</f>
        <v>0</v>
      </c>
      <c r="F144" s="355">
        <f>'HSSA FGD'!$F$22</f>
        <v>0</v>
      </c>
      <c r="G144" s="355">
        <f>'HSSA FGD'!$G$22</f>
        <v>0</v>
      </c>
      <c r="H144" s="355">
        <f>'HSSA FGD'!$H$22</f>
        <v>0</v>
      </c>
      <c r="I144" s="355">
        <f>'HSSA FGD'!$I$22</f>
        <v>0</v>
      </c>
      <c r="J144" s="355">
        <f>'HSSA FGD'!$J$22</f>
        <v>0</v>
      </c>
      <c r="K144" s="355">
        <f>'HSSA FGD'!$K$22</f>
        <v>0</v>
      </c>
      <c r="L144" s="355">
        <f>'HSSA FGD'!$L$22</f>
        <v>0</v>
      </c>
      <c r="M144" s="357">
        <f>'HSSA FGD'!$M$22</f>
        <v>0</v>
      </c>
    </row>
    <row r="145" spans="1:14" s="50" customFormat="1" hidden="1" outlineLevel="1">
      <c r="A145" s="293"/>
      <c r="B145" s="392" t="str">
        <f>'MBG FGD'!$B$2</f>
        <v>The University of Texas Medical Branch at Galveston</v>
      </c>
      <c r="C145" s="51"/>
      <c r="D145" s="355">
        <f>'MBG FGD'!$D$22</f>
        <v>0</v>
      </c>
      <c r="E145" s="355">
        <f>'MBG FGD'!$E$22</f>
        <v>0</v>
      </c>
      <c r="F145" s="355">
        <f>'MBG FGD'!$F$22</f>
        <v>0</v>
      </c>
      <c r="G145" s="355">
        <f>'MBG FGD'!$G$22</f>
        <v>0</v>
      </c>
      <c r="H145" s="355">
        <f>'MBG FGD'!$H$22</f>
        <v>0</v>
      </c>
      <c r="I145" s="355">
        <f>'MBG FGD'!$I$22</f>
        <v>0</v>
      </c>
      <c r="J145" s="355">
        <f>'MBG FGD'!$J$22</f>
        <v>0</v>
      </c>
      <c r="K145" s="355">
        <f>'MBG FGD'!$K$22</f>
        <v>0</v>
      </c>
      <c r="L145" s="355">
        <f>'MBG FGD'!$L$22</f>
        <v>0</v>
      </c>
      <c r="M145" s="357">
        <f>'MBG FGD'!$M$22</f>
        <v>0</v>
      </c>
    </row>
    <row r="146" spans="1:14" s="50" customFormat="1" hidden="1" outlineLevel="1">
      <c r="A146" s="293"/>
      <c r="B146" s="392" t="str">
        <f>'MDA FGD'!$B$2</f>
        <v>The University of Texas M.D. Anderson Cancer Center</v>
      </c>
      <c r="C146" s="51"/>
      <c r="D146" s="355">
        <f>'MDA FGD'!$D$22</f>
        <v>0</v>
      </c>
      <c r="E146" s="355">
        <f>'MDA FGD'!$E$22</f>
        <v>0</v>
      </c>
      <c r="F146" s="355">
        <f>'MDA FGD'!$F$22</f>
        <v>0</v>
      </c>
      <c r="G146" s="355">
        <f>'MDA FGD'!$G$22</f>
        <v>0</v>
      </c>
      <c r="H146" s="355">
        <f>'MDA FGD'!$H$22</f>
        <v>0</v>
      </c>
      <c r="I146" s="355">
        <f>'MDA FGD'!$I$22</f>
        <v>0</v>
      </c>
      <c r="J146" s="355">
        <f>'MDA FGD'!$J$22</f>
        <v>0</v>
      </c>
      <c r="K146" s="355">
        <f>'MDA FGD'!$K$22</f>
        <v>0</v>
      </c>
      <c r="L146" s="355">
        <f>'MDA FGD'!$L$22</f>
        <v>0</v>
      </c>
      <c r="M146" s="357">
        <f>'MDA FGD'!$M$22</f>
        <v>0</v>
      </c>
    </row>
    <row r="147" spans="1:14" s="50" customFormat="1" hidden="1" outlineLevel="1">
      <c r="A147" s="293"/>
      <c r="B147" s="392" t="str">
        <f>'RGVM FGD'!$B$2</f>
        <v>The University of Texas Rio Grande Valley Medical School (M)</v>
      </c>
      <c r="C147" s="51"/>
      <c r="D147" s="355">
        <f>'RGVM FGD'!$D$22</f>
        <v>0</v>
      </c>
      <c r="E147" s="355">
        <f>'RGVM FGD'!$E$22</f>
        <v>0</v>
      </c>
      <c r="F147" s="355">
        <f>'RGVM FGD'!$F$22</f>
        <v>0</v>
      </c>
      <c r="G147" s="355">
        <f>'RGVM FGD'!$G$22</f>
        <v>0</v>
      </c>
      <c r="H147" s="355">
        <f>'RGVM FGD'!$H$22</f>
        <v>0</v>
      </c>
      <c r="I147" s="355">
        <f>'RGVM FGD'!$I$22</f>
        <v>0</v>
      </c>
      <c r="J147" s="355">
        <f>'RGVM FGD'!$J$22</f>
        <v>0</v>
      </c>
      <c r="K147" s="355">
        <f>'RGVM FGD'!$K$22</f>
        <v>0</v>
      </c>
      <c r="L147" s="355">
        <f>'RGVM FGD'!$L$22</f>
        <v>0</v>
      </c>
      <c r="M147" s="357">
        <f>'RGVM FGD'!$M$22</f>
        <v>0</v>
      </c>
    </row>
    <row r="148" spans="1:14" s="50" customFormat="1" hidden="1" outlineLevel="1">
      <c r="A148" s="293"/>
      <c r="B148" s="392" t="str">
        <f>'SWM FGD'!$B$2</f>
        <v>The University of Texas Southwestern Medical Center</v>
      </c>
      <c r="C148" s="51"/>
      <c r="D148" s="355">
        <f>'SWM FGD'!$D$22</f>
        <v>0</v>
      </c>
      <c r="E148" s="355">
        <f>'SWM FGD'!$E$22</f>
        <v>0</v>
      </c>
      <c r="F148" s="355">
        <f>'SWM FGD'!$F$22</f>
        <v>0</v>
      </c>
      <c r="G148" s="355">
        <f>'SWM FGD'!$G$22</f>
        <v>0</v>
      </c>
      <c r="H148" s="355">
        <f>'SWM FGD'!$H$22</f>
        <v>0</v>
      </c>
      <c r="I148" s="355">
        <f>'SWM FGD'!$I$22</f>
        <v>0</v>
      </c>
      <c r="J148" s="355">
        <f>'SWM FGD'!$J$22</f>
        <v>0</v>
      </c>
      <c r="K148" s="355">
        <f>'SWM FGD'!$K$22</f>
        <v>0</v>
      </c>
      <c r="L148" s="355">
        <f>'SWM FGD'!$L$22</f>
        <v>0</v>
      </c>
      <c r="M148" s="357">
        <f>'SWM FGD'!$M$22</f>
        <v>0</v>
      </c>
    </row>
    <row r="149" spans="1:14" s="50" customFormat="1" hidden="1" outlineLevel="1">
      <c r="A149" s="293"/>
      <c r="B149" s="392" t="str">
        <f>'TAMHSC FGD'!$B$2</f>
        <v>Texas A&amp;M University System Health Science Center</v>
      </c>
      <c r="C149" s="51"/>
      <c r="D149" s="355">
        <f>'TAMHSC FGD'!$D$22</f>
        <v>0</v>
      </c>
      <c r="E149" s="355">
        <f>'TAMHSC FGD'!$E$22</f>
        <v>0</v>
      </c>
      <c r="F149" s="355">
        <f>'TAMHSC FGD'!$F$22</f>
        <v>0</v>
      </c>
      <c r="G149" s="355">
        <f>'TAMHSC FGD'!$G$22</f>
        <v>0</v>
      </c>
      <c r="H149" s="355">
        <f>'TAMHSC FGD'!$H$22</f>
        <v>0</v>
      </c>
      <c r="I149" s="355">
        <f>'TAMHSC FGD'!$I$22</f>
        <v>0</v>
      </c>
      <c r="J149" s="355">
        <f>'TAMHSC FGD'!$J$22</f>
        <v>0</v>
      </c>
      <c r="K149" s="355">
        <f>'TAMHSC FGD'!$K$22</f>
        <v>0</v>
      </c>
      <c r="L149" s="355">
        <f>'TAMHSC FGD'!$L$22</f>
        <v>0</v>
      </c>
      <c r="M149" s="357">
        <f>'TAMHSC FGD'!$M$22</f>
        <v>0</v>
      </c>
    </row>
    <row r="150" spans="1:14" s="50" customFormat="1" hidden="1" outlineLevel="1">
      <c r="A150" s="293"/>
      <c r="B150" s="392" t="str">
        <f>'THC FGD'!$B$2</f>
        <v>The University of Texas Health Science Center at Tyler</v>
      </c>
      <c r="C150" s="51"/>
      <c r="D150" s="355">
        <f>'THC FGD'!$D$22</f>
        <v>0</v>
      </c>
      <c r="E150" s="355">
        <f>'THC FGD'!$E$22</f>
        <v>0</v>
      </c>
      <c r="F150" s="355">
        <f>'THC FGD'!$F$22</f>
        <v>0</v>
      </c>
      <c r="G150" s="355">
        <f>'THC FGD'!$G$22</f>
        <v>0</v>
      </c>
      <c r="H150" s="355">
        <f>'THC FGD'!$H$22</f>
        <v>0</v>
      </c>
      <c r="I150" s="355">
        <f>'THC FGD'!$I$22</f>
        <v>0</v>
      </c>
      <c r="J150" s="355">
        <f>'THC FGD'!$J$22</f>
        <v>0</v>
      </c>
      <c r="K150" s="355">
        <f>'THC FGD'!$K$22</f>
        <v>0</v>
      </c>
      <c r="L150" s="355">
        <f>'THC FGD'!$L$22</f>
        <v>0</v>
      </c>
      <c r="M150" s="357">
        <f>'THC FGD'!$M$22</f>
        <v>0</v>
      </c>
    </row>
    <row r="151" spans="1:14" s="50" customFormat="1" hidden="1" outlineLevel="1">
      <c r="A151" s="293"/>
      <c r="B151" s="392" t="str">
        <f>'TTUHSC FGD'!$B$2</f>
        <v>Texas Tech University Health Sciences Center</v>
      </c>
      <c r="C151" s="51"/>
      <c r="D151" s="355">
        <f>'TTUHSC FGD'!$D$22</f>
        <v>0</v>
      </c>
      <c r="E151" s="355">
        <f>'TTUHSC FGD'!$E$22</f>
        <v>0</v>
      </c>
      <c r="F151" s="355">
        <f>'TTUHSC FGD'!$F$22</f>
        <v>0</v>
      </c>
      <c r="G151" s="355">
        <f>'TTUHSC FGD'!$G$22</f>
        <v>0</v>
      </c>
      <c r="H151" s="355">
        <f>'TTUHSC FGD'!$H$22</f>
        <v>0</v>
      </c>
      <c r="I151" s="355">
        <f>'TTUHSC FGD'!$I$22</f>
        <v>0</v>
      </c>
      <c r="J151" s="355">
        <f>'TTUHSC FGD'!$J$22</f>
        <v>0</v>
      </c>
      <c r="K151" s="355">
        <f>'TTUHSC FGD'!$K$22</f>
        <v>0</v>
      </c>
      <c r="L151" s="355">
        <f>'TTUHSC FGD'!$L$22</f>
        <v>0</v>
      </c>
      <c r="M151" s="357">
        <f>'TTUHSC FGD'!$M$22</f>
        <v>0</v>
      </c>
    </row>
    <row r="152" spans="1:14" s="50" customFormat="1" hidden="1" outlineLevel="1">
      <c r="A152" s="293"/>
      <c r="B152" s="392" t="str">
        <f>'TTUHSCEP FGD'!$B$2</f>
        <v>Texas Tech University Health Sciences Center at El Paso</v>
      </c>
      <c r="C152" s="51"/>
      <c r="D152" s="355">
        <f>'TTUHSCEP FGD'!$D$22</f>
        <v>0</v>
      </c>
      <c r="E152" s="355">
        <f>'TTUHSCEP FGD'!$E$22</f>
        <v>0</v>
      </c>
      <c r="F152" s="355">
        <f>'TTUHSCEP FGD'!$F$22</f>
        <v>0</v>
      </c>
      <c r="G152" s="355">
        <f>'TTUHSCEP FGD'!$G$22</f>
        <v>0</v>
      </c>
      <c r="H152" s="355">
        <f>'TTUHSCEP FGD'!$H$22</f>
        <v>0</v>
      </c>
      <c r="I152" s="355">
        <f>'TTUHSCEP FGD'!$I$22</f>
        <v>0</v>
      </c>
      <c r="J152" s="355">
        <f>'TTUHSCEP FGD'!$J$22</f>
        <v>0</v>
      </c>
      <c r="K152" s="355">
        <f>'TTUHSCEP FGD'!$K$22</f>
        <v>0</v>
      </c>
      <c r="L152" s="355">
        <f>'TTUHSCEP FGD'!$L$22</f>
        <v>0</v>
      </c>
      <c r="M152" s="357">
        <f>'TTUHSCEP FGD'!$M$22</f>
        <v>0</v>
      </c>
    </row>
    <row r="153" spans="1:14" s="50" customFormat="1" hidden="1" outlineLevel="1">
      <c r="A153" s="293"/>
      <c r="B153" s="392" t="str">
        <f>'UNTHSC FGD'!$B$2</f>
        <v>University of North Texas Health Science Center at Fort Worth</v>
      </c>
      <c r="C153" s="51"/>
      <c r="D153" s="355">
        <f>'UNTHSC FGD'!$D$22</f>
        <v>0</v>
      </c>
      <c r="E153" s="355">
        <f>'UNTHSC FGD'!$E$22</f>
        <v>0</v>
      </c>
      <c r="F153" s="355">
        <f>'UNTHSC FGD'!$F$22</f>
        <v>0</v>
      </c>
      <c r="G153" s="355">
        <f>'UNTHSC FGD'!$G$22</f>
        <v>0</v>
      </c>
      <c r="H153" s="355">
        <f>'UNTHSC FGD'!$H$22</f>
        <v>0</v>
      </c>
      <c r="I153" s="355">
        <f>'UNTHSC FGD'!$I$22</f>
        <v>0</v>
      </c>
      <c r="J153" s="355">
        <f>'UNTHSC FGD'!$J$22</f>
        <v>0</v>
      </c>
      <c r="K153" s="355">
        <f>'UNTHSC FGD'!$K$22</f>
        <v>0</v>
      </c>
      <c r="L153" s="355">
        <f>'UNTHSC FGD'!$L$22</f>
        <v>0</v>
      </c>
      <c r="M153" s="357">
        <f>'UNTHSC FGD'!$M$22</f>
        <v>0</v>
      </c>
    </row>
    <row r="154" spans="1:14" s="50" customFormat="1" collapsed="1">
      <c r="A154" s="293"/>
      <c r="B154" s="51" t="s">
        <v>641</v>
      </c>
      <c r="C154" s="51"/>
      <c r="D154" s="355">
        <f t="shared" ref="D154:M154" si="10">SUM(D142:D153)</f>
        <v>0</v>
      </c>
      <c r="E154" s="355">
        <f t="shared" si="10"/>
        <v>0</v>
      </c>
      <c r="F154" s="355">
        <f t="shared" si="10"/>
        <v>0</v>
      </c>
      <c r="G154" s="355">
        <f t="shared" si="10"/>
        <v>0</v>
      </c>
      <c r="H154" s="355">
        <f t="shared" si="10"/>
        <v>0</v>
      </c>
      <c r="I154" s="355">
        <f t="shared" si="10"/>
        <v>0</v>
      </c>
      <c r="J154" s="355">
        <f t="shared" si="10"/>
        <v>0</v>
      </c>
      <c r="K154" s="355">
        <f t="shared" si="10"/>
        <v>0</v>
      </c>
      <c r="L154" s="355">
        <f t="shared" si="10"/>
        <v>0</v>
      </c>
      <c r="M154" s="357">
        <f t="shared" si="10"/>
        <v>0</v>
      </c>
      <c r="N154" s="299"/>
    </row>
    <row r="155" spans="1:14" s="50" customFormat="1" hidden="1" outlineLevel="1">
      <c r="A155" s="293"/>
      <c r="B155" s="392" t="str">
        <f>'AUSM FGD'!$B$2</f>
        <v>The University of Texas at Austin Medical School (M)</v>
      </c>
      <c r="C155" s="51"/>
      <c r="D155" s="355">
        <f>'AUSM FGD'!$D$23</f>
        <v>934738</v>
      </c>
      <c r="E155" s="355">
        <f>'AUSM FGD'!$E$23</f>
        <v>1362879</v>
      </c>
      <c r="F155" s="355">
        <f>'AUSM FGD'!$F$23</f>
        <v>0</v>
      </c>
      <c r="G155" s="355">
        <f>'AUSM FGD'!$G$23</f>
        <v>0</v>
      </c>
      <c r="H155" s="355">
        <f>'AUSM FGD'!$H$23</f>
        <v>0</v>
      </c>
      <c r="I155" s="355">
        <f>'AUSM FGD'!$I$23</f>
        <v>0</v>
      </c>
      <c r="J155" s="355">
        <f>'AUSM FGD'!$J$23</f>
        <v>0</v>
      </c>
      <c r="K155" s="355">
        <f>'AUSM FGD'!$K$23</f>
        <v>0</v>
      </c>
      <c r="L155" s="355">
        <f>'AUSM FGD'!$L$23</f>
        <v>0</v>
      </c>
      <c r="M155" s="357">
        <f>'AUSM FGD'!$M$23</f>
        <v>2297617</v>
      </c>
      <c r="N155" s="299"/>
    </row>
    <row r="156" spans="1:14" s="50" customFormat="1" hidden="1" outlineLevel="1">
      <c r="A156" s="293"/>
      <c r="B156" s="392" t="str">
        <f>'HSH FGD'!$B$2</f>
        <v>The University of Texas Health Science Center at Houston</v>
      </c>
      <c r="C156" s="51"/>
      <c r="D156" s="355">
        <f>'HSH FGD'!$D$23</f>
        <v>24234442</v>
      </c>
      <c r="E156" s="355">
        <f>'HSH FGD'!$E$23</f>
        <v>22067233</v>
      </c>
      <c r="F156" s="355">
        <f>'HSH FGD'!$F$23</f>
        <v>0</v>
      </c>
      <c r="G156" s="355">
        <f>'HSH FGD'!$G$23</f>
        <v>0</v>
      </c>
      <c r="H156" s="355">
        <f>'HSH FGD'!$H$23</f>
        <v>0</v>
      </c>
      <c r="I156" s="355">
        <f>'HSH FGD'!$I$23</f>
        <v>0</v>
      </c>
      <c r="J156" s="355">
        <f>'HSH FGD'!$J$23</f>
        <v>0</v>
      </c>
      <c r="K156" s="355">
        <f>'HSH FGD'!$K$23</f>
        <v>0</v>
      </c>
      <c r="L156" s="355">
        <f>'HSH FGD'!$L$23</f>
        <v>0</v>
      </c>
      <c r="M156" s="357">
        <f>'HSH FGD'!$M$23</f>
        <v>46301675</v>
      </c>
      <c r="N156" s="299"/>
    </row>
    <row r="157" spans="1:14" s="50" customFormat="1" hidden="1" outlineLevel="1">
      <c r="A157" s="293"/>
      <c r="B157" s="392" t="str">
        <f>'HSSA FGD'!$B$2</f>
        <v>The University of Texas Health Science Center at San Antonio</v>
      </c>
      <c r="C157" s="51"/>
      <c r="D157" s="355">
        <f>'HSSA FGD'!$D$23</f>
        <v>15971445</v>
      </c>
      <c r="E157" s="355">
        <f>'HSSA FGD'!$E$23</f>
        <v>31912567</v>
      </c>
      <c r="F157" s="355">
        <f>'HSSA FGD'!$F$23</f>
        <v>0</v>
      </c>
      <c r="G157" s="355">
        <f>'HSSA FGD'!$G$23</f>
        <v>0</v>
      </c>
      <c r="H157" s="355">
        <f>'HSSA FGD'!$H$23</f>
        <v>0</v>
      </c>
      <c r="I157" s="355">
        <f>'HSSA FGD'!$I$23</f>
        <v>0</v>
      </c>
      <c r="J157" s="355">
        <f>'HSSA FGD'!$J$23</f>
        <v>0</v>
      </c>
      <c r="K157" s="355">
        <f>'HSSA FGD'!$K$23</f>
        <v>0</v>
      </c>
      <c r="L157" s="355">
        <f>'HSSA FGD'!$L$23</f>
        <v>0</v>
      </c>
      <c r="M157" s="357">
        <f>'HSSA FGD'!$M$23</f>
        <v>47884012</v>
      </c>
      <c r="N157" s="299"/>
    </row>
    <row r="158" spans="1:14" s="50" customFormat="1" hidden="1" outlineLevel="1">
      <c r="A158" s="293"/>
      <c r="B158" s="392" t="str">
        <f>'MBG FGD'!$B$2</f>
        <v>The University of Texas Medical Branch at Galveston</v>
      </c>
      <c r="C158" s="51"/>
      <c r="D158" s="355">
        <f>'MBG FGD'!$D$23</f>
        <v>13564320</v>
      </c>
      <c r="E158" s="355">
        <f>'MBG FGD'!$E$23</f>
        <v>21971010</v>
      </c>
      <c r="F158" s="355">
        <f>'MBG FGD'!$F$23</f>
        <v>0</v>
      </c>
      <c r="G158" s="355">
        <f>'MBG FGD'!$G$23</f>
        <v>0</v>
      </c>
      <c r="H158" s="355">
        <f>'MBG FGD'!$H$23</f>
        <v>0</v>
      </c>
      <c r="I158" s="355">
        <f>'MBG FGD'!$I$23</f>
        <v>0</v>
      </c>
      <c r="J158" s="355">
        <f>'MBG FGD'!$J$23</f>
        <v>0</v>
      </c>
      <c r="K158" s="355">
        <f>'MBG FGD'!$K$23</f>
        <v>0</v>
      </c>
      <c r="L158" s="355">
        <f>'MBG FGD'!$L$23</f>
        <v>0</v>
      </c>
      <c r="M158" s="357">
        <f>'MBG FGD'!$M$23</f>
        <v>35535330</v>
      </c>
      <c r="N158" s="299"/>
    </row>
    <row r="159" spans="1:14" s="50" customFormat="1" hidden="1" outlineLevel="1">
      <c r="A159" s="293"/>
      <c r="B159" s="392" t="str">
        <f>'MDA FGD'!$B$2</f>
        <v>The University of Texas M.D. Anderson Cancer Center</v>
      </c>
      <c r="C159" s="51"/>
      <c r="D159" s="355">
        <f>'MDA FGD'!$D$23</f>
        <v>586745</v>
      </c>
      <c r="E159" s="355">
        <f>'MDA FGD'!$E$23</f>
        <v>412439</v>
      </c>
      <c r="F159" s="355">
        <f>'MDA FGD'!$F$23</f>
        <v>0</v>
      </c>
      <c r="G159" s="355">
        <f>'MDA FGD'!$G$23</f>
        <v>0</v>
      </c>
      <c r="H159" s="355">
        <f>'MDA FGD'!$H$23</f>
        <v>0</v>
      </c>
      <c r="I159" s="355">
        <f>'MDA FGD'!$I$23</f>
        <v>0</v>
      </c>
      <c r="J159" s="355">
        <f>'MDA FGD'!$J$23</f>
        <v>0</v>
      </c>
      <c r="K159" s="355">
        <f>'MDA FGD'!$K$23</f>
        <v>0</v>
      </c>
      <c r="L159" s="355">
        <f>'MDA FGD'!$L$23</f>
        <v>0</v>
      </c>
      <c r="M159" s="357">
        <f>'MDA FGD'!$M$23</f>
        <v>999184</v>
      </c>
      <c r="N159" s="299"/>
    </row>
    <row r="160" spans="1:14" s="50" customFormat="1" hidden="1" outlineLevel="1">
      <c r="A160" s="293"/>
      <c r="B160" s="392" t="str">
        <f>'RGVM FGD'!$B$2</f>
        <v>The University of Texas Rio Grande Valley Medical School (M)</v>
      </c>
      <c r="C160" s="51"/>
      <c r="D160" s="355">
        <f>'RGVM FGD'!$D$23</f>
        <v>693178</v>
      </c>
      <c r="E160" s="355">
        <f>'RGVM FGD'!$E$23</f>
        <v>1109303</v>
      </c>
      <c r="F160" s="355">
        <f>'RGVM FGD'!$F$23</f>
        <v>0</v>
      </c>
      <c r="G160" s="355">
        <f>'RGVM FGD'!$G$23</f>
        <v>0</v>
      </c>
      <c r="H160" s="355">
        <f>'RGVM FGD'!$H$23</f>
        <v>0</v>
      </c>
      <c r="I160" s="355">
        <f>'RGVM FGD'!$I$23</f>
        <v>0</v>
      </c>
      <c r="J160" s="355">
        <f>'RGVM FGD'!$J$23</f>
        <v>0</v>
      </c>
      <c r="K160" s="355">
        <f>'RGVM FGD'!$K$23</f>
        <v>0</v>
      </c>
      <c r="L160" s="355">
        <f>'RGVM FGD'!$L$23</f>
        <v>0</v>
      </c>
      <c r="M160" s="357">
        <f>'RGVM FGD'!$M$23</f>
        <v>1802481</v>
      </c>
      <c r="N160" s="299"/>
    </row>
    <row r="161" spans="1:14" s="50" customFormat="1" hidden="1" outlineLevel="1">
      <c r="A161" s="293"/>
      <c r="B161" s="392" t="str">
        <f>'SWM FGD'!$B$2</f>
        <v>The University of Texas Southwestern Medical Center</v>
      </c>
      <c r="C161" s="51"/>
      <c r="D161" s="355">
        <f>'SWM FGD'!$D$23</f>
        <v>8316348</v>
      </c>
      <c r="E161" s="355">
        <f>'SWM FGD'!$E$23</f>
        <v>16960062</v>
      </c>
      <c r="F161" s="355">
        <f>'SWM FGD'!$F$23</f>
        <v>0</v>
      </c>
      <c r="G161" s="355">
        <f>'SWM FGD'!$G$23</f>
        <v>0</v>
      </c>
      <c r="H161" s="355">
        <f>'SWM FGD'!$H$23</f>
        <v>0</v>
      </c>
      <c r="I161" s="355">
        <f>'SWM FGD'!$I$23</f>
        <v>0</v>
      </c>
      <c r="J161" s="355">
        <f>'SWM FGD'!$J$23</f>
        <v>0</v>
      </c>
      <c r="K161" s="355">
        <f>'SWM FGD'!$K$23</f>
        <v>0</v>
      </c>
      <c r="L161" s="355">
        <f>'SWM FGD'!$L$23</f>
        <v>0</v>
      </c>
      <c r="M161" s="357">
        <f>'SWM FGD'!$M$23</f>
        <v>25276410</v>
      </c>
      <c r="N161" s="299"/>
    </row>
    <row r="162" spans="1:14" s="50" customFormat="1" hidden="1" outlineLevel="1">
      <c r="A162" s="293"/>
      <c r="B162" s="392" t="str">
        <f>'TAMHSC FGD'!$B$2</f>
        <v>Texas A&amp;M University System Health Science Center</v>
      </c>
      <c r="C162" s="51"/>
      <c r="D162" s="355">
        <f>'TAMHSC FGD'!$D$23</f>
        <v>18241623</v>
      </c>
      <c r="E162" s="355">
        <f>'TAMHSC FGD'!$E$23</f>
        <v>9530815</v>
      </c>
      <c r="F162" s="355">
        <f>'TAMHSC FGD'!$F$23</f>
        <v>0</v>
      </c>
      <c r="G162" s="355">
        <f>'TAMHSC FGD'!$G$23</f>
        <v>0</v>
      </c>
      <c r="H162" s="355">
        <f>'TAMHSC FGD'!$H$23</f>
        <v>0</v>
      </c>
      <c r="I162" s="355">
        <f>'TAMHSC FGD'!$I$23</f>
        <v>0</v>
      </c>
      <c r="J162" s="355">
        <f>'TAMHSC FGD'!$J$23</f>
        <v>0</v>
      </c>
      <c r="K162" s="355">
        <f>'TAMHSC FGD'!$K$23</f>
        <v>0</v>
      </c>
      <c r="L162" s="355">
        <f>'TAMHSC FGD'!$L$23</f>
        <v>0</v>
      </c>
      <c r="M162" s="357">
        <f>'TAMHSC FGD'!$M$23</f>
        <v>27772438</v>
      </c>
      <c r="N162" s="299"/>
    </row>
    <row r="163" spans="1:14" s="50" customFormat="1" hidden="1" outlineLevel="1">
      <c r="A163" s="293"/>
      <c r="B163" s="392" t="str">
        <f>'THC FGD'!$B$2</f>
        <v>The University of Texas Health Science Center at Tyler</v>
      </c>
      <c r="C163" s="51"/>
      <c r="D163" s="355">
        <f>'THC FGD'!$D$23</f>
        <v>66732</v>
      </c>
      <c r="E163" s="355">
        <f>'THC FGD'!$E$23</f>
        <v>87308</v>
      </c>
      <c r="F163" s="355">
        <f>'THC FGD'!$F$23</f>
        <v>0</v>
      </c>
      <c r="G163" s="355">
        <f>'THC FGD'!$G$23</f>
        <v>0</v>
      </c>
      <c r="H163" s="355">
        <f>'THC FGD'!$H$23</f>
        <v>0</v>
      </c>
      <c r="I163" s="355">
        <f>'THC FGD'!$I$23</f>
        <v>0</v>
      </c>
      <c r="J163" s="355">
        <f>'THC FGD'!$J$23</f>
        <v>0</v>
      </c>
      <c r="K163" s="355">
        <f>'THC FGD'!$K$23</f>
        <v>0</v>
      </c>
      <c r="L163" s="355">
        <f>'THC FGD'!$L$23</f>
        <v>0</v>
      </c>
      <c r="M163" s="357">
        <f>'THC FGD'!$M$23</f>
        <v>154040</v>
      </c>
      <c r="N163" s="299"/>
    </row>
    <row r="164" spans="1:14" s="50" customFormat="1" hidden="1" outlineLevel="1">
      <c r="A164" s="293"/>
      <c r="B164" s="392" t="str">
        <f>'TTUHSC FGD'!$B$2</f>
        <v>Texas Tech University Health Sciences Center</v>
      </c>
      <c r="C164" s="51"/>
      <c r="D164" s="355">
        <f>'TTUHSC FGD'!$D$23</f>
        <v>17319354</v>
      </c>
      <c r="E164" s="355">
        <f>'TTUHSC FGD'!$E$23</f>
        <v>27794027</v>
      </c>
      <c r="F164" s="355">
        <f>'TTUHSC FGD'!$F$23</f>
        <v>0</v>
      </c>
      <c r="G164" s="355">
        <f>'TTUHSC FGD'!$G$23</f>
        <v>0</v>
      </c>
      <c r="H164" s="355">
        <f>'TTUHSC FGD'!$H$23</f>
        <v>0</v>
      </c>
      <c r="I164" s="355">
        <f>'TTUHSC FGD'!$I$23</f>
        <v>0</v>
      </c>
      <c r="J164" s="355">
        <f>'TTUHSC FGD'!$J$23</f>
        <v>0</v>
      </c>
      <c r="K164" s="355">
        <f>'TTUHSC FGD'!$K$23</f>
        <v>0</v>
      </c>
      <c r="L164" s="355">
        <f>'TTUHSC FGD'!$L$23</f>
        <v>0</v>
      </c>
      <c r="M164" s="357">
        <f>'TTUHSC FGD'!$M$23</f>
        <v>45113381</v>
      </c>
      <c r="N164" s="299"/>
    </row>
    <row r="165" spans="1:14" s="50" customFormat="1" hidden="1" outlineLevel="1">
      <c r="A165" s="293"/>
      <c r="B165" s="392" t="str">
        <f>'TTUHSCEP FGD'!$B$2</f>
        <v>Texas Tech University Health Sciences Center at El Paso</v>
      </c>
      <c r="C165" s="51"/>
      <c r="D165" s="355">
        <f>'TTUHSCEP FGD'!$D$23</f>
        <v>3147553</v>
      </c>
      <c r="E165" s="355">
        <f>'TTUHSCEP FGD'!$E$23</f>
        <v>5051171</v>
      </c>
      <c r="F165" s="355">
        <f>'TTUHSCEP FGD'!$F$23</f>
        <v>0</v>
      </c>
      <c r="G165" s="355">
        <f>'TTUHSCEP FGD'!$G$23</f>
        <v>0</v>
      </c>
      <c r="H165" s="355">
        <f>'TTUHSCEP FGD'!$H$23</f>
        <v>0</v>
      </c>
      <c r="I165" s="355">
        <f>'TTUHSCEP FGD'!$I$23</f>
        <v>0</v>
      </c>
      <c r="J165" s="355">
        <f>'TTUHSCEP FGD'!$J$23</f>
        <v>0</v>
      </c>
      <c r="K165" s="355">
        <f>'TTUHSCEP FGD'!$K$23</f>
        <v>0</v>
      </c>
      <c r="L165" s="355">
        <f>'TTUHSCEP FGD'!$L$23</f>
        <v>0</v>
      </c>
      <c r="M165" s="357">
        <f>'TTUHSCEP FGD'!$M$23</f>
        <v>8198724</v>
      </c>
      <c r="N165" s="299"/>
    </row>
    <row r="166" spans="1:14" s="50" customFormat="1" hidden="1" outlineLevel="1">
      <c r="A166" s="293"/>
      <c r="B166" s="392" t="str">
        <f>'UNTHSC FGD'!$B$2</f>
        <v>University of North Texas Health Science Center at Fort Worth</v>
      </c>
      <c r="C166" s="51"/>
      <c r="D166" s="355">
        <f>'UNTHSC FGD'!$D$23</f>
        <v>11558059</v>
      </c>
      <c r="E166" s="355">
        <f>'UNTHSC FGD'!$E$23</f>
        <v>12305303</v>
      </c>
      <c r="F166" s="355">
        <f>'UNTHSC FGD'!$F$23</f>
        <v>0</v>
      </c>
      <c r="G166" s="355">
        <f>'UNTHSC FGD'!$G$23</f>
        <v>0</v>
      </c>
      <c r="H166" s="355">
        <f>'UNTHSC FGD'!$H$23</f>
        <v>0</v>
      </c>
      <c r="I166" s="355">
        <f>'UNTHSC FGD'!$I$23</f>
        <v>0</v>
      </c>
      <c r="J166" s="355">
        <f>'UNTHSC FGD'!$J$23</f>
        <v>0</v>
      </c>
      <c r="K166" s="355">
        <f>'UNTHSC FGD'!$K$23</f>
        <v>0</v>
      </c>
      <c r="L166" s="355">
        <f>'UNTHSC FGD'!$L$23</f>
        <v>0</v>
      </c>
      <c r="M166" s="357">
        <f>'UNTHSC FGD'!$M$23</f>
        <v>23863362</v>
      </c>
      <c r="N166" s="299"/>
    </row>
    <row r="167" spans="1:14" s="50" customFormat="1" ht="12.75" customHeight="1" collapsed="1">
      <c r="A167" s="293"/>
      <c r="B167" s="536" t="s">
        <v>642</v>
      </c>
      <c r="C167" s="179"/>
      <c r="D167" s="541">
        <f t="shared" ref="D167:M167" si="11">SUM(D155:D166)</f>
        <v>114634537</v>
      </c>
      <c r="E167" s="541">
        <f t="shared" si="11"/>
        <v>150564117</v>
      </c>
      <c r="F167" s="541">
        <f t="shared" si="11"/>
        <v>0</v>
      </c>
      <c r="G167" s="541">
        <f t="shared" si="11"/>
        <v>0</v>
      </c>
      <c r="H167" s="541">
        <f t="shared" si="11"/>
        <v>0</v>
      </c>
      <c r="I167" s="541">
        <f t="shared" si="11"/>
        <v>0</v>
      </c>
      <c r="J167" s="541">
        <f t="shared" si="11"/>
        <v>0</v>
      </c>
      <c r="K167" s="541">
        <f t="shared" si="11"/>
        <v>0</v>
      </c>
      <c r="L167" s="541">
        <f t="shared" si="11"/>
        <v>0</v>
      </c>
      <c r="M167" s="542">
        <f t="shared" si="11"/>
        <v>265198654</v>
      </c>
    </row>
    <row r="168" spans="1:14" s="50" customFormat="1" ht="12.75" hidden="1" customHeight="1" outlineLevel="1">
      <c r="A168" s="293"/>
      <c r="B168" s="392" t="str">
        <f>'AUSM FGD'!$B$2</f>
        <v>The University of Texas at Austin Medical School (M)</v>
      </c>
      <c r="C168" s="180"/>
      <c r="D168" s="559">
        <f>'AUSM FGD'!$D$24</f>
        <v>0</v>
      </c>
      <c r="E168" s="559">
        <f>'AUSM FGD'!$E$24</f>
        <v>0</v>
      </c>
      <c r="F168" s="559">
        <f>'AUSM FGD'!$F$24</f>
        <v>0</v>
      </c>
      <c r="G168" s="559">
        <f>'AUSM FGD'!$G$24</f>
        <v>0</v>
      </c>
      <c r="H168" s="559">
        <f>'AUSM FGD'!$H$24</f>
        <v>0</v>
      </c>
      <c r="I168" s="559">
        <f>'AUSM FGD'!$I$24</f>
        <v>0</v>
      </c>
      <c r="J168" s="559">
        <f>'AUSM FGD'!$J$24</f>
        <v>0</v>
      </c>
      <c r="K168" s="559">
        <f>'AUSM FGD'!$K$24</f>
        <v>0</v>
      </c>
      <c r="L168" s="559">
        <f>'AUSM FGD'!$L$24</f>
        <v>0</v>
      </c>
      <c r="M168" s="543">
        <f>'AUSM FGD'!$M$24</f>
        <v>0</v>
      </c>
    </row>
    <row r="169" spans="1:14" s="50" customFormat="1" ht="12.75" hidden="1" customHeight="1" outlineLevel="1">
      <c r="A169" s="293"/>
      <c r="B169" s="392" t="str">
        <f>'HSH FGD'!$B$2</f>
        <v>The University of Texas Health Science Center at Houston</v>
      </c>
      <c r="C169" s="180"/>
      <c r="D169" s="559">
        <f>'HSH FGD'!$D$24</f>
        <v>0</v>
      </c>
      <c r="E169" s="559">
        <f>'HSH FGD'!$E$24</f>
        <v>0</v>
      </c>
      <c r="F169" s="559">
        <f>'HSH FGD'!$F$24</f>
        <v>0</v>
      </c>
      <c r="G169" s="559">
        <f>'HSH FGD'!$G$24</f>
        <v>0</v>
      </c>
      <c r="H169" s="559">
        <f>'HSH FGD'!$H$24</f>
        <v>0</v>
      </c>
      <c r="I169" s="559">
        <f>'HSH FGD'!$I$24</f>
        <v>0</v>
      </c>
      <c r="J169" s="559">
        <f>'HSH FGD'!$J$24</f>
        <v>0</v>
      </c>
      <c r="K169" s="559">
        <f>'HSH FGD'!$K$24</f>
        <v>0</v>
      </c>
      <c r="L169" s="559">
        <f>'HSH FGD'!$L$24</f>
        <v>0</v>
      </c>
      <c r="M169" s="543">
        <f>'HSH FGD'!$M$24</f>
        <v>0</v>
      </c>
    </row>
    <row r="170" spans="1:14" s="50" customFormat="1" ht="12.75" hidden="1" customHeight="1" outlineLevel="1">
      <c r="A170" s="293"/>
      <c r="B170" s="392" t="str">
        <f>'HSSA FGD'!$B$2</f>
        <v>The University of Texas Health Science Center at San Antonio</v>
      </c>
      <c r="C170" s="180"/>
      <c r="D170" s="559">
        <f>'HSSA FGD'!$D$24</f>
        <v>0</v>
      </c>
      <c r="E170" s="559">
        <f>'HSSA FGD'!$E$24</f>
        <v>0</v>
      </c>
      <c r="F170" s="559">
        <f>'HSSA FGD'!$F$24</f>
        <v>0</v>
      </c>
      <c r="G170" s="559">
        <f>'HSSA FGD'!$G$24</f>
        <v>0</v>
      </c>
      <c r="H170" s="559">
        <f>'HSSA FGD'!$H$24</f>
        <v>0</v>
      </c>
      <c r="I170" s="559">
        <f>'HSSA FGD'!$I$24</f>
        <v>0</v>
      </c>
      <c r="J170" s="559">
        <f>'HSSA FGD'!$J$24</f>
        <v>0</v>
      </c>
      <c r="K170" s="559">
        <f>'HSSA FGD'!$K$24</f>
        <v>0</v>
      </c>
      <c r="L170" s="559">
        <f>'HSSA FGD'!$L$24</f>
        <v>0</v>
      </c>
      <c r="M170" s="543">
        <f>'HSSA FGD'!$M$24</f>
        <v>0</v>
      </c>
    </row>
    <row r="171" spans="1:14" s="50" customFormat="1" ht="12.75" hidden="1" customHeight="1" outlineLevel="1">
      <c r="A171" s="293"/>
      <c r="B171" s="392" t="str">
        <f>'MBG FGD'!$B$2</f>
        <v>The University of Texas Medical Branch at Galveston</v>
      </c>
      <c r="C171" s="180"/>
      <c r="D171" s="559">
        <f>'MBG FGD'!$D$24</f>
        <v>0</v>
      </c>
      <c r="E171" s="559">
        <f>'MBG FGD'!$E$24</f>
        <v>0</v>
      </c>
      <c r="F171" s="559">
        <f>'MBG FGD'!$F$24</f>
        <v>0</v>
      </c>
      <c r="G171" s="559">
        <f>'MBG FGD'!$G$24</f>
        <v>0</v>
      </c>
      <c r="H171" s="559">
        <f>'MBG FGD'!$H$24</f>
        <v>0</v>
      </c>
      <c r="I171" s="559">
        <f>'MBG FGD'!$I$24</f>
        <v>0</v>
      </c>
      <c r="J171" s="559">
        <f>'MBG FGD'!$J$24</f>
        <v>0</v>
      </c>
      <c r="K171" s="559">
        <f>'MBG FGD'!$K$24</f>
        <v>0</v>
      </c>
      <c r="L171" s="559">
        <f>'MBG FGD'!$L$24</f>
        <v>0</v>
      </c>
      <c r="M171" s="543">
        <f>'MBG FGD'!$M$24</f>
        <v>0</v>
      </c>
    </row>
    <row r="172" spans="1:14" s="50" customFormat="1" ht="12.75" hidden="1" customHeight="1" outlineLevel="1">
      <c r="A172" s="293"/>
      <c r="B172" s="392" t="str">
        <f>'MDA FGD'!$B$2</f>
        <v>The University of Texas M.D. Anderson Cancer Center</v>
      </c>
      <c r="C172" s="180"/>
      <c r="D172" s="559">
        <f>'MDA FGD'!$D$24</f>
        <v>0</v>
      </c>
      <c r="E172" s="559">
        <f>'MDA FGD'!$E$24</f>
        <v>0</v>
      </c>
      <c r="F172" s="559">
        <f>'MDA FGD'!$F$24</f>
        <v>0</v>
      </c>
      <c r="G172" s="559">
        <f>'MDA FGD'!$G$24</f>
        <v>0</v>
      </c>
      <c r="H172" s="559">
        <f>'MDA FGD'!$H$24</f>
        <v>0</v>
      </c>
      <c r="I172" s="559">
        <f>'MDA FGD'!$I$24</f>
        <v>0</v>
      </c>
      <c r="J172" s="559">
        <f>'MDA FGD'!$J$24</f>
        <v>0</v>
      </c>
      <c r="K172" s="559">
        <f>'MDA FGD'!$K$24</f>
        <v>0</v>
      </c>
      <c r="L172" s="559">
        <f>'MDA FGD'!$L$24</f>
        <v>0</v>
      </c>
      <c r="M172" s="543">
        <f>'MDA FGD'!$M$24</f>
        <v>0</v>
      </c>
    </row>
    <row r="173" spans="1:14" s="50" customFormat="1" ht="12.75" hidden="1" customHeight="1" outlineLevel="1">
      <c r="A173" s="293"/>
      <c r="B173" s="392" t="str">
        <f>'RGVM FGD'!$B$2</f>
        <v>The University of Texas Rio Grande Valley Medical School (M)</v>
      </c>
      <c r="C173" s="180"/>
      <c r="D173" s="559">
        <f>'RGVM FGD'!$D$24</f>
        <v>0</v>
      </c>
      <c r="E173" s="559">
        <f>'RGVM FGD'!$E$24</f>
        <v>0</v>
      </c>
      <c r="F173" s="559">
        <f>'RGVM FGD'!$F$24</f>
        <v>0</v>
      </c>
      <c r="G173" s="559">
        <f>'RGVM FGD'!$G$24</f>
        <v>0</v>
      </c>
      <c r="H173" s="559">
        <f>'RGVM FGD'!$H$24</f>
        <v>0</v>
      </c>
      <c r="I173" s="559">
        <f>'RGVM FGD'!$I$24</f>
        <v>0</v>
      </c>
      <c r="J173" s="559">
        <f>'RGVM FGD'!$J$24</f>
        <v>0</v>
      </c>
      <c r="K173" s="559">
        <f>'RGVM FGD'!$K$24</f>
        <v>0</v>
      </c>
      <c r="L173" s="559">
        <f>'RGVM FGD'!$L$24</f>
        <v>0</v>
      </c>
      <c r="M173" s="543">
        <f>'RGVM FGD'!$M$24</f>
        <v>0</v>
      </c>
    </row>
    <row r="174" spans="1:14" s="50" customFormat="1" ht="12.75" hidden="1" customHeight="1" outlineLevel="1">
      <c r="A174" s="293"/>
      <c r="B174" s="392" t="str">
        <f>'SWM FGD'!$B$2</f>
        <v>The University of Texas Southwestern Medical Center</v>
      </c>
      <c r="C174" s="180"/>
      <c r="D174" s="559">
        <f>'SWM FGD'!$D$24</f>
        <v>0</v>
      </c>
      <c r="E174" s="559">
        <f>'SWM FGD'!$E$24</f>
        <v>0</v>
      </c>
      <c r="F174" s="559">
        <f>'SWM FGD'!$F$24</f>
        <v>0</v>
      </c>
      <c r="G174" s="559">
        <f>'SWM FGD'!$G$24</f>
        <v>0</v>
      </c>
      <c r="H174" s="559">
        <f>'SWM FGD'!$H$24</f>
        <v>0</v>
      </c>
      <c r="I174" s="559">
        <f>'SWM FGD'!$I$24</f>
        <v>0</v>
      </c>
      <c r="J174" s="559">
        <f>'SWM FGD'!$J$24</f>
        <v>0</v>
      </c>
      <c r="K174" s="559">
        <f>'SWM FGD'!$K$24</f>
        <v>0</v>
      </c>
      <c r="L174" s="559">
        <f>'SWM FGD'!$L$24</f>
        <v>0</v>
      </c>
      <c r="M174" s="543">
        <f>'SWM FGD'!$M$24</f>
        <v>0</v>
      </c>
    </row>
    <row r="175" spans="1:14" s="50" customFormat="1" ht="12.75" hidden="1" customHeight="1" outlineLevel="1">
      <c r="A175" s="293"/>
      <c r="B175" s="392" t="str">
        <f>'TAMHSC FGD'!$B$2</f>
        <v>Texas A&amp;M University System Health Science Center</v>
      </c>
      <c r="C175" s="180"/>
      <c r="D175" s="559">
        <f>'TAMHSC FGD'!$D$24</f>
        <v>0</v>
      </c>
      <c r="E175" s="559">
        <f>'TAMHSC FGD'!$E$24</f>
        <v>0</v>
      </c>
      <c r="F175" s="559">
        <f>'TAMHSC FGD'!$F$24</f>
        <v>0</v>
      </c>
      <c r="G175" s="559">
        <f>'TAMHSC FGD'!$G$24</f>
        <v>0</v>
      </c>
      <c r="H175" s="559">
        <f>'TAMHSC FGD'!$H$24</f>
        <v>0</v>
      </c>
      <c r="I175" s="559">
        <f>'TAMHSC FGD'!$I$24</f>
        <v>0</v>
      </c>
      <c r="J175" s="559">
        <f>'TAMHSC FGD'!$J$24</f>
        <v>0</v>
      </c>
      <c r="K175" s="559">
        <f>'TAMHSC FGD'!$K$24</f>
        <v>0</v>
      </c>
      <c r="L175" s="559">
        <f>'TAMHSC FGD'!$L$24</f>
        <v>0</v>
      </c>
      <c r="M175" s="543">
        <f>'TAMHSC FGD'!$M$24</f>
        <v>0</v>
      </c>
    </row>
    <row r="176" spans="1:14" s="50" customFormat="1" ht="12.75" hidden="1" customHeight="1" outlineLevel="1">
      <c r="A176" s="293"/>
      <c r="B176" s="392" t="str">
        <f>'THC FGD'!$B$2</f>
        <v>The University of Texas Health Science Center at Tyler</v>
      </c>
      <c r="C176" s="180"/>
      <c r="D176" s="559">
        <f>'THC FGD'!$D$24</f>
        <v>0</v>
      </c>
      <c r="E176" s="559">
        <f>'THC FGD'!$E$24</f>
        <v>0</v>
      </c>
      <c r="F176" s="559">
        <f>'THC FGD'!$F$24</f>
        <v>0</v>
      </c>
      <c r="G176" s="559">
        <f>'THC FGD'!$G$24</f>
        <v>0</v>
      </c>
      <c r="H176" s="559">
        <f>'THC FGD'!$H$24</f>
        <v>0</v>
      </c>
      <c r="I176" s="559">
        <f>'THC FGD'!$I$24</f>
        <v>0</v>
      </c>
      <c r="J176" s="559">
        <f>'THC FGD'!$J$24</f>
        <v>0</v>
      </c>
      <c r="K176" s="559">
        <f>'THC FGD'!$K$24</f>
        <v>0</v>
      </c>
      <c r="L176" s="559">
        <f>'THC FGD'!$L$24</f>
        <v>0</v>
      </c>
      <c r="M176" s="543">
        <f>'THC FGD'!$M$24</f>
        <v>0</v>
      </c>
    </row>
    <row r="177" spans="1:13" s="50" customFormat="1" ht="12.75" hidden="1" customHeight="1" outlineLevel="1">
      <c r="A177" s="293"/>
      <c r="B177" s="392" t="str">
        <f>'TTUHSC FGD'!$B$2</f>
        <v>Texas Tech University Health Sciences Center</v>
      </c>
      <c r="C177" s="180"/>
      <c r="D177" s="559">
        <f>'TTUHSC FGD'!$D$24</f>
        <v>0</v>
      </c>
      <c r="E177" s="559">
        <f>'TTUHSC FGD'!$E$24</f>
        <v>0</v>
      </c>
      <c r="F177" s="559">
        <f>'TTUHSC FGD'!$F$24</f>
        <v>0</v>
      </c>
      <c r="G177" s="559">
        <f>'TTUHSC FGD'!$G$24</f>
        <v>0</v>
      </c>
      <c r="H177" s="559">
        <f>'TTUHSC FGD'!$H$24</f>
        <v>0</v>
      </c>
      <c r="I177" s="559">
        <f>'TTUHSC FGD'!$I$24</f>
        <v>0</v>
      </c>
      <c r="J177" s="559">
        <f>'TTUHSC FGD'!$J$24</f>
        <v>0</v>
      </c>
      <c r="K177" s="559">
        <f>'TTUHSC FGD'!$K$24</f>
        <v>0</v>
      </c>
      <c r="L177" s="559">
        <f>'TTUHSC FGD'!$L$24</f>
        <v>0</v>
      </c>
      <c r="M177" s="543">
        <f>'TTUHSC FGD'!$M$24</f>
        <v>0</v>
      </c>
    </row>
    <row r="178" spans="1:13" s="50" customFormat="1" ht="12.75" hidden="1" customHeight="1" outlineLevel="1">
      <c r="A178" s="293"/>
      <c r="B178" s="392" t="str">
        <f>'TTUHSCEP FGD'!$B$2</f>
        <v>Texas Tech University Health Sciences Center at El Paso</v>
      </c>
      <c r="C178" s="180"/>
      <c r="D178" s="559">
        <f>'TTUHSCEP FGD'!$D$24</f>
        <v>0</v>
      </c>
      <c r="E178" s="559">
        <f>'TTUHSCEP FGD'!$E$24</f>
        <v>0</v>
      </c>
      <c r="F178" s="559">
        <f>'TTUHSCEP FGD'!$F$24</f>
        <v>0</v>
      </c>
      <c r="G178" s="559">
        <f>'TTUHSCEP FGD'!$G$24</f>
        <v>0</v>
      </c>
      <c r="H178" s="559">
        <f>'TTUHSCEP FGD'!$H$24</f>
        <v>0</v>
      </c>
      <c r="I178" s="559">
        <f>'TTUHSCEP FGD'!$I$24</f>
        <v>0</v>
      </c>
      <c r="J178" s="559">
        <f>'TTUHSCEP FGD'!$J$24</f>
        <v>0</v>
      </c>
      <c r="K178" s="559">
        <f>'TTUHSCEP FGD'!$K$24</f>
        <v>0</v>
      </c>
      <c r="L178" s="559">
        <f>'TTUHSCEP FGD'!$L$24</f>
        <v>0</v>
      </c>
      <c r="M178" s="543">
        <f>'TTUHSCEP FGD'!$M$24</f>
        <v>0</v>
      </c>
    </row>
    <row r="179" spans="1:13" s="50" customFormat="1" ht="12.75" hidden="1" customHeight="1" outlineLevel="1">
      <c r="A179" s="293"/>
      <c r="B179" s="392" t="str">
        <f>'UNTHSC FGD'!$B$2</f>
        <v>University of North Texas Health Science Center at Fort Worth</v>
      </c>
      <c r="C179" s="180"/>
      <c r="D179" s="559">
        <f>'UNTHSC FGD'!$D$24</f>
        <v>0</v>
      </c>
      <c r="E179" s="559">
        <f>'UNTHSC FGD'!$E$24</f>
        <v>0</v>
      </c>
      <c r="F179" s="559">
        <f>'UNTHSC FGD'!$F$24</f>
        <v>0</v>
      </c>
      <c r="G179" s="559">
        <f>'UNTHSC FGD'!$G$24</f>
        <v>0</v>
      </c>
      <c r="H179" s="559">
        <f>'UNTHSC FGD'!$H$24</f>
        <v>0</v>
      </c>
      <c r="I179" s="559">
        <f>'UNTHSC FGD'!$I$24</f>
        <v>0</v>
      </c>
      <c r="J179" s="559">
        <f>'UNTHSC FGD'!$J$24</f>
        <v>0</v>
      </c>
      <c r="K179" s="559">
        <f>'UNTHSC FGD'!$K$24</f>
        <v>0</v>
      </c>
      <c r="L179" s="559">
        <f>'UNTHSC FGD'!$L$24</f>
        <v>0</v>
      </c>
      <c r="M179" s="543">
        <f>'UNTHSC FGD'!$M$24</f>
        <v>0</v>
      </c>
    </row>
    <row r="180" spans="1:13" s="50" customFormat="1" ht="12.75" customHeight="1" collapsed="1">
      <c r="A180" s="293"/>
      <c r="B180" s="51" t="s">
        <v>643</v>
      </c>
      <c r="C180" s="180"/>
      <c r="D180" s="355">
        <f t="shared" ref="D180:M180" si="12">SUM(D168:D179)</f>
        <v>0</v>
      </c>
      <c r="E180" s="355">
        <f t="shared" si="12"/>
        <v>0</v>
      </c>
      <c r="F180" s="355">
        <f t="shared" si="12"/>
        <v>0</v>
      </c>
      <c r="G180" s="355">
        <f t="shared" si="12"/>
        <v>0</v>
      </c>
      <c r="H180" s="355">
        <f t="shared" si="12"/>
        <v>0</v>
      </c>
      <c r="I180" s="355">
        <f t="shared" si="12"/>
        <v>0</v>
      </c>
      <c r="J180" s="355">
        <f t="shared" si="12"/>
        <v>0</v>
      </c>
      <c r="K180" s="355">
        <f t="shared" si="12"/>
        <v>0</v>
      </c>
      <c r="L180" s="355">
        <f t="shared" si="12"/>
        <v>0</v>
      </c>
      <c r="M180" s="543">
        <f t="shared" si="12"/>
        <v>0</v>
      </c>
    </row>
    <row r="181" spans="1:13" s="50" customFormat="1" ht="12.75" hidden="1" customHeight="1" outlineLevel="1">
      <c r="A181" s="293"/>
      <c r="B181" s="392" t="str">
        <f>'AUSM FGD'!$B$2</f>
        <v>The University of Texas at Austin Medical School (M)</v>
      </c>
      <c r="C181" s="180"/>
      <c r="D181" s="355">
        <f>'AUSM FGD'!$D$25</f>
        <v>0</v>
      </c>
      <c r="E181" s="355">
        <f>'AUSM FGD'!$E$25</f>
        <v>0</v>
      </c>
      <c r="F181" s="355">
        <f>'AUSM FGD'!$F$25</f>
        <v>0</v>
      </c>
      <c r="G181" s="355">
        <f>'AUSM FGD'!$G$25</f>
        <v>0</v>
      </c>
      <c r="H181" s="355">
        <f>'AUSM FGD'!$H$25</f>
        <v>0</v>
      </c>
      <c r="I181" s="355">
        <f>'AUSM FGD'!$I$25</f>
        <v>0</v>
      </c>
      <c r="J181" s="355">
        <f>'AUSM FGD'!$J$25</f>
        <v>0</v>
      </c>
      <c r="K181" s="355">
        <f>'AUSM FGD'!$K$25</f>
        <v>0</v>
      </c>
      <c r="L181" s="355">
        <f>'AUSM FGD'!$L$25</f>
        <v>0</v>
      </c>
      <c r="M181" s="543">
        <f>'AUSM FGD'!$M$25</f>
        <v>0</v>
      </c>
    </row>
    <row r="182" spans="1:13" s="50" customFormat="1" ht="12.75" hidden="1" customHeight="1" outlineLevel="1">
      <c r="A182" s="293"/>
      <c r="B182" s="392" t="str">
        <f>'HSH FGD'!$B$2</f>
        <v>The University of Texas Health Science Center at Houston</v>
      </c>
      <c r="C182" s="180"/>
      <c r="D182" s="355">
        <f>'HSH FGD'!$D$25</f>
        <v>0</v>
      </c>
      <c r="E182" s="355">
        <f>'HSH FGD'!$E$25</f>
        <v>0</v>
      </c>
      <c r="F182" s="355">
        <f>'HSH FGD'!$F$25</f>
        <v>0</v>
      </c>
      <c r="G182" s="355">
        <f>'HSH FGD'!$G$25</f>
        <v>0</v>
      </c>
      <c r="H182" s="355">
        <f>'HSH FGD'!$H$25</f>
        <v>0</v>
      </c>
      <c r="I182" s="355">
        <f>'HSH FGD'!$I$25</f>
        <v>0</v>
      </c>
      <c r="J182" s="355">
        <f>'HSH FGD'!$J$25</f>
        <v>0</v>
      </c>
      <c r="K182" s="355">
        <f>'HSH FGD'!$K$25</f>
        <v>0</v>
      </c>
      <c r="L182" s="355">
        <f>'HSH FGD'!$L$25</f>
        <v>0</v>
      </c>
      <c r="M182" s="543">
        <f>'HSH FGD'!$M$25</f>
        <v>0</v>
      </c>
    </row>
    <row r="183" spans="1:13" s="50" customFormat="1" ht="12.75" hidden="1" customHeight="1" outlineLevel="1">
      <c r="A183" s="293"/>
      <c r="B183" s="392" t="str">
        <f>'HSSA FGD'!$B$2</f>
        <v>The University of Texas Health Science Center at San Antonio</v>
      </c>
      <c r="C183" s="180"/>
      <c r="D183" s="355">
        <f>'HSSA FGD'!$D$25</f>
        <v>0</v>
      </c>
      <c r="E183" s="355">
        <f>'HSSA FGD'!$E$25</f>
        <v>0</v>
      </c>
      <c r="F183" s="355">
        <f>'HSSA FGD'!$F$25</f>
        <v>0</v>
      </c>
      <c r="G183" s="355">
        <f>'HSSA FGD'!$G$25</f>
        <v>0</v>
      </c>
      <c r="H183" s="355">
        <f>'HSSA FGD'!$H$25</f>
        <v>0</v>
      </c>
      <c r="I183" s="355">
        <f>'HSSA FGD'!$I$25</f>
        <v>0</v>
      </c>
      <c r="J183" s="355">
        <f>'HSSA FGD'!$J$25</f>
        <v>0</v>
      </c>
      <c r="K183" s="355">
        <f>'HSSA FGD'!$K$25</f>
        <v>0</v>
      </c>
      <c r="L183" s="355">
        <f>'HSSA FGD'!$L$25</f>
        <v>0</v>
      </c>
      <c r="M183" s="543">
        <f>'HSSA FGD'!$M$25</f>
        <v>0</v>
      </c>
    </row>
    <row r="184" spans="1:13" s="50" customFormat="1" ht="12.75" hidden="1" customHeight="1" outlineLevel="1">
      <c r="A184" s="293"/>
      <c r="B184" s="392" t="str">
        <f>'MBG FGD'!$B$2</f>
        <v>The University of Texas Medical Branch at Galveston</v>
      </c>
      <c r="C184" s="180"/>
      <c r="D184" s="355">
        <f>'MBG FGD'!$D$25</f>
        <v>0</v>
      </c>
      <c r="E184" s="355">
        <f>'MBG FGD'!$E$25</f>
        <v>0</v>
      </c>
      <c r="F184" s="355">
        <f>'MBG FGD'!$F$25</f>
        <v>0</v>
      </c>
      <c r="G184" s="355">
        <f>'MBG FGD'!$G$25</f>
        <v>0</v>
      </c>
      <c r="H184" s="355">
        <f>'MBG FGD'!$H$25</f>
        <v>0</v>
      </c>
      <c r="I184" s="355">
        <f>'MBG FGD'!$I$25</f>
        <v>0</v>
      </c>
      <c r="J184" s="355">
        <f>'MBG FGD'!$J$25</f>
        <v>0</v>
      </c>
      <c r="K184" s="355">
        <f>'MBG FGD'!$K$25</f>
        <v>0</v>
      </c>
      <c r="L184" s="355">
        <f>'MBG FGD'!$L$25</f>
        <v>0</v>
      </c>
      <c r="M184" s="543">
        <f>'MBG FGD'!$M$25</f>
        <v>0</v>
      </c>
    </row>
    <row r="185" spans="1:13" s="50" customFormat="1" ht="12.75" hidden="1" customHeight="1" outlineLevel="1">
      <c r="A185" s="293"/>
      <c r="B185" s="392" t="str">
        <f>'MDA FGD'!$B$2</f>
        <v>The University of Texas M.D. Anderson Cancer Center</v>
      </c>
      <c r="C185" s="180"/>
      <c r="D185" s="355">
        <f>'MDA FGD'!$D$25</f>
        <v>0</v>
      </c>
      <c r="E185" s="355">
        <f>'MDA FGD'!$E$25</f>
        <v>0</v>
      </c>
      <c r="F185" s="355">
        <f>'MDA FGD'!$F$25</f>
        <v>0</v>
      </c>
      <c r="G185" s="355">
        <f>'MDA FGD'!$G$25</f>
        <v>0</v>
      </c>
      <c r="H185" s="355">
        <f>'MDA FGD'!$H$25</f>
        <v>0</v>
      </c>
      <c r="I185" s="355">
        <f>'MDA FGD'!$I$25</f>
        <v>0</v>
      </c>
      <c r="J185" s="355">
        <f>'MDA FGD'!$J$25</f>
        <v>0</v>
      </c>
      <c r="K185" s="355">
        <f>'MDA FGD'!$K$25</f>
        <v>0</v>
      </c>
      <c r="L185" s="355">
        <f>'MDA FGD'!$L$25</f>
        <v>0</v>
      </c>
      <c r="M185" s="543">
        <f>'MDA FGD'!$M$25</f>
        <v>0</v>
      </c>
    </row>
    <row r="186" spans="1:13" s="50" customFormat="1" ht="12.75" hidden="1" customHeight="1" outlineLevel="1">
      <c r="A186" s="293"/>
      <c r="B186" s="392" t="str">
        <f>'RGVM FGD'!$B$2</f>
        <v>The University of Texas Rio Grande Valley Medical School (M)</v>
      </c>
      <c r="C186" s="180"/>
      <c r="D186" s="355">
        <f>'RGVM FGD'!$D$25</f>
        <v>0</v>
      </c>
      <c r="E186" s="355">
        <f>'RGVM FGD'!$E$25</f>
        <v>0</v>
      </c>
      <c r="F186" s="355">
        <f>'RGVM FGD'!$F$25</f>
        <v>0</v>
      </c>
      <c r="G186" s="355">
        <f>'RGVM FGD'!$G$25</f>
        <v>0</v>
      </c>
      <c r="H186" s="355">
        <f>'RGVM FGD'!$H$25</f>
        <v>0</v>
      </c>
      <c r="I186" s="355">
        <f>'RGVM FGD'!$I$25</f>
        <v>0</v>
      </c>
      <c r="J186" s="355">
        <f>'RGVM FGD'!$J$25</f>
        <v>0</v>
      </c>
      <c r="K186" s="355">
        <f>'RGVM FGD'!$K$25</f>
        <v>0</v>
      </c>
      <c r="L186" s="355">
        <f>'RGVM FGD'!$L$25</f>
        <v>0</v>
      </c>
      <c r="M186" s="543">
        <f>'RGVM FGD'!$M$25</f>
        <v>0</v>
      </c>
    </row>
    <row r="187" spans="1:13" s="50" customFormat="1" ht="12.75" hidden="1" customHeight="1" outlineLevel="1">
      <c r="A187" s="293"/>
      <c r="B187" s="392" t="str">
        <f>'SWM FGD'!$B$2</f>
        <v>The University of Texas Southwestern Medical Center</v>
      </c>
      <c r="C187" s="180"/>
      <c r="D187" s="355">
        <f>'SWM FGD'!$D$25</f>
        <v>0</v>
      </c>
      <c r="E187" s="355">
        <f>'SWM FGD'!$E$25</f>
        <v>0</v>
      </c>
      <c r="F187" s="355">
        <f>'SWM FGD'!$F$25</f>
        <v>0</v>
      </c>
      <c r="G187" s="355">
        <f>'SWM FGD'!$G$25</f>
        <v>0</v>
      </c>
      <c r="H187" s="355">
        <f>'SWM FGD'!$H$25</f>
        <v>0</v>
      </c>
      <c r="I187" s="355">
        <f>'SWM FGD'!$I$25</f>
        <v>0</v>
      </c>
      <c r="J187" s="355">
        <f>'SWM FGD'!$J$25</f>
        <v>0</v>
      </c>
      <c r="K187" s="355">
        <f>'SWM FGD'!$K$25</f>
        <v>0</v>
      </c>
      <c r="L187" s="355">
        <f>'SWM FGD'!$L$25</f>
        <v>0</v>
      </c>
      <c r="M187" s="543">
        <f>'SWM FGD'!$M$25</f>
        <v>0</v>
      </c>
    </row>
    <row r="188" spans="1:13" s="50" customFormat="1" ht="12.75" hidden="1" customHeight="1" outlineLevel="1">
      <c r="A188" s="293"/>
      <c r="B188" s="392" t="str">
        <f>'TAMHSC FGD'!$B$2</f>
        <v>Texas A&amp;M University System Health Science Center</v>
      </c>
      <c r="C188" s="180"/>
      <c r="D188" s="355">
        <f>'TAMHSC FGD'!$D$25</f>
        <v>0</v>
      </c>
      <c r="E188" s="355">
        <f>'TAMHSC FGD'!$E$25</f>
        <v>0</v>
      </c>
      <c r="F188" s="355">
        <f>'TAMHSC FGD'!$F$25</f>
        <v>0</v>
      </c>
      <c r="G188" s="355">
        <f>'TAMHSC FGD'!$G$25</f>
        <v>0</v>
      </c>
      <c r="H188" s="355">
        <f>'TAMHSC FGD'!$H$25</f>
        <v>0</v>
      </c>
      <c r="I188" s="355">
        <f>'TAMHSC FGD'!$I$25</f>
        <v>0</v>
      </c>
      <c r="J188" s="355">
        <f>'TAMHSC FGD'!$J$25</f>
        <v>0</v>
      </c>
      <c r="K188" s="355">
        <f>'TAMHSC FGD'!$K$25</f>
        <v>0</v>
      </c>
      <c r="L188" s="355">
        <f>'TAMHSC FGD'!$L$25</f>
        <v>0</v>
      </c>
      <c r="M188" s="543">
        <f>'TAMHSC FGD'!$M$25</f>
        <v>0</v>
      </c>
    </row>
    <row r="189" spans="1:13" s="50" customFormat="1" ht="12.75" hidden="1" customHeight="1" outlineLevel="1">
      <c r="A189" s="293"/>
      <c r="B189" s="392" t="str">
        <f>'THC FGD'!$B$2</f>
        <v>The University of Texas Health Science Center at Tyler</v>
      </c>
      <c r="C189" s="180"/>
      <c r="D189" s="355">
        <f>'THC FGD'!$D$25</f>
        <v>0</v>
      </c>
      <c r="E189" s="355">
        <f>'THC FGD'!$E$25</f>
        <v>0</v>
      </c>
      <c r="F189" s="355">
        <f>'THC FGD'!$F$25</f>
        <v>0</v>
      </c>
      <c r="G189" s="355">
        <f>'THC FGD'!$G$25</f>
        <v>0</v>
      </c>
      <c r="H189" s="355">
        <f>'THC FGD'!$H$25</f>
        <v>0</v>
      </c>
      <c r="I189" s="355">
        <f>'THC FGD'!$I$25</f>
        <v>0</v>
      </c>
      <c r="J189" s="355">
        <f>'THC FGD'!$J$25</f>
        <v>0</v>
      </c>
      <c r="K189" s="355">
        <f>'THC FGD'!$K$25</f>
        <v>0</v>
      </c>
      <c r="L189" s="355">
        <f>'THC FGD'!$L$25</f>
        <v>0</v>
      </c>
      <c r="M189" s="543">
        <f>'THC FGD'!$M$25</f>
        <v>0</v>
      </c>
    </row>
    <row r="190" spans="1:13" s="50" customFormat="1" ht="12.75" hidden="1" customHeight="1" outlineLevel="1">
      <c r="A190" s="293"/>
      <c r="B190" s="392" t="str">
        <f>'TTUHSC FGD'!$B$2</f>
        <v>Texas Tech University Health Sciences Center</v>
      </c>
      <c r="C190" s="180"/>
      <c r="D190" s="355">
        <f>'TTUHSC FGD'!$D$25</f>
        <v>0</v>
      </c>
      <c r="E190" s="355">
        <f>'TTUHSC FGD'!$E$25</f>
        <v>0</v>
      </c>
      <c r="F190" s="355">
        <f>'TTUHSC FGD'!$F$25</f>
        <v>0</v>
      </c>
      <c r="G190" s="355">
        <f>'TTUHSC FGD'!$G$25</f>
        <v>0</v>
      </c>
      <c r="H190" s="355">
        <f>'TTUHSC FGD'!$H$25</f>
        <v>0</v>
      </c>
      <c r="I190" s="355">
        <f>'TTUHSC FGD'!$I$25</f>
        <v>0</v>
      </c>
      <c r="J190" s="355">
        <f>'TTUHSC FGD'!$J$25</f>
        <v>0</v>
      </c>
      <c r="K190" s="355">
        <f>'TTUHSC FGD'!$K$25</f>
        <v>0</v>
      </c>
      <c r="L190" s="355">
        <f>'TTUHSC FGD'!$L$25</f>
        <v>0</v>
      </c>
      <c r="M190" s="543">
        <f>'TTUHSC FGD'!$M$25</f>
        <v>0</v>
      </c>
    </row>
    <row r="191" spans="1:13" s="50" customFormat="1" ht="12.75" hidden="1" customHeight="1" outlineLevel="1">
      <c r="A191" s="293"/>
      <c r="B191" s="392" t="str">
        <f>'TTUHSCEP FGD'!$B$2</f>
        <v>Texas Tech University Health Sciences Center at El Paso</v>
      </c>
      <c r="C191" s="180"/>
      <c r="D191" s="355">
        <f>'TTUHSCEP FGD'!$D$25</f>
        <v>0</v>
      </c>
      <c r="E191" s="355">
        <f>'TTUHSCEP FGD'!$E$25</f>
        <v>0</v>
      </c>
      <c r="F191" s="355">
        <f>'TTUHSCEP FGD'!$F$25</f>
        <v>0</v>
      </c>
      <c r="G191" s="355">
        <f>'TTUHSCEP FGD'!$G$25</f>
        <v>0</v>
      </c>
      <c r="H191" s="355">
        <f>'TTUHSCEP FGD'!$H$25</f>
        <v>0</v>
      </c>
      <c r="I191" s="355">
        <f>'TTUHSCEP FGD'!$I$25</f>
        <v>0</v>
      </c>
      <c r="J191" s="355">
        <f>'TTUHSCEP FGD'!$J$25</f>
        <v>0</v>
      </c>
      <c r="K191" s="355">
        <f>'TTUHSCEP FGD'!$K$25</f>
        <v>0</v>
      </c>
      <c r="L191" s="355">
        <f>'TTUHSCEP FGD'!$L$25</f>
        <v>0</v>
      </c>
      <c r="M191" s="543">
        <f>'TTUHSCEP FGD'!$M$25</f>
        <v>0</v>
      </c>
    </row>
    <row r="192" spans="1:13" s="50" customFormat="1" ht="12.75" hidden="1" customHeight="1" outlineLevel="1">
      <c r="A192" s="293"/>
      <c r="B192" s="392" t="str">
        <f>'UNTHSC FGD'!$B$2</f>
        <v>University of North Texas Health Science Center at Fort Worth</v>
      </c>
      <c r="C192" s="180"/>
      <c r="D192" s="355">
        <f>'UNTHSC FGD'!$D$25</f>
        <v>0</v>
      </c>
      <c r="E192" s="355">
        <f>'UNTHSC FGD'!$E$25</f>
        <v>0</v>
      </c>
      <c r="F192" s="355">
        <f>'UNTHSC FGD'!$F$25</f>
        <v>0</v>
      </c>
      <c r="G192" s="355">
        <f>'UNTHSC FGD'!$G$25</f>
        <v>0</v>
      </c>
      <c r="H192" s="355">
        <f>'UNTHSC FGD'!$H$25</f>
        <v>0</v>
      </c>
      <c r="I192" s="355">
        <f>'UNTHSC FGD'!$I$25</f>
        <v>0</v>
      </c>
      <c r="J192" s="355">
        <f>'UNTHSC FGD'!$J$25</f>
        <v>0</v>
      </c>
      <c r="K192" s="355">
        <f>'UNTHSC FGD'!$K$25</f>
        <v>0</v>
      </c>
      <c r="L192" s="355">
        <f>'UNTHSC FGD'!$L$25</f>
        <v>0</v>
      </c>
      <c r="M192" s="543">
        <f>'UNTHSC FGD'!$M$25</f>
        <v>0</v>
      </c>
    </row>
    <row r="193" spans="1:13" s="50" customFormat="1" ht="12.75" customHeight="1" collapsed="1">
      <c r="A193" s="293"/>
      <c r="B193" s="51" t="s">
        <v>644</v>
      </c>
      <c r="C193" s="180"/>
      <c r="D193" s="355">
        <f t="shared" ref="D193:M193" si="13">SUM(D181:D192)</f>
        <v>0</v>
      </c>
      <c r="E193" s="355">
        <f t="shared" si="13"/>
        <v>0</v>
      </c>
      <c r="F193" s="355">
        <f t="shared" si="13"/>
        <v>0</v>
      </c>
      <c r="G193" s="355">
        <f t="shared" si="13"/>
        <v>0</v>
      </c>
      <c r="H193" s="355">
        <f t="shared" si="13"/>
        <v>0</v>
      </c>
      <c r="I193" s="355">
        <f t="shared" si="13"/>
        <v>0</v>
      </c>
      <c r="J193" s="355">
        <f t="shared" si="13"/>
        <v>0</v>
      </c>
      <c r="K193" s="355">
        <f t="shared" si="13"/>
        <v>0</v>
      </c>
      <c r="L193" s="355">
        <f t="shared" si="13"/>
        <v>0</v>
      </c>
      <c r="M193" s="543">
        <f t="shared" si="13"/>
        <v>0</v>
      </c>
    </row>
    <row r="194" spans="1:13" s="50" customFormat="1" ht="12.75" hidden="1" customHeight="1" outlineLevel="1">
      <c r="A194" s="293"/>
      <c r="B194" s="392" t="str">
        <f>'AUSM FGD'!$B$2</f>
        <v>The University of Texas at Austin Medical School (M)</v>
      </c>
      <c r="C194" s="180"/>
      <c r="D194" s="355">
        <f>'AUSM FGD'!$D$26</f>
        <v>0</v>
      </c>
      <c r="E194" s="355">
        <f>'AUSM FGD'!$E$26</f>
        <v>0</v>
      </c>
      <c r="F194" s="355">
        <f>'AUSM FGD'!$F$26</f>
        <v>0</v>
      </c>
      <c r="G194" s="355">
        <f>'AUSM FGD'!$G$26</f>
        <v>0</v>
      </c>
      <c r="H194" s="355">
        <f>'AUSM FGD'!$H$26</f>
        <v>0</v>
      </c>
      <c r="I194" s="355">
        <f>'AUSM FGD'!$I$26</f>
        <v>0</v>
      </c>
      <c r="J194" s="355">
        <f>'AUSM FGD'!$J$26</f>
        <v>0</v>
      </c>
      <c r="K194" s="355">
        <f>'AUSM FGD'!$K$26</f>
        <v>0</v>
      </c>
      <c r="L194" s="355">
        <f>'AUSM FGD'!$L$26</f>
        <v>0</v>
      </c>
      <c r="M194" s="543">
        <f>'AUSM FGD'!$M$26</f>
        <v>0</v>
      </c>
    </row>
    <row r="195" spans="1:13" s="50" customFormat="1" ht="12.75" hidden="1" customHeight="1" outlineLevel="1">
      <c r="A195" s="293"/>
      <c r="B195" s="392" t="str">
        <f>'HSH FGD'!$B$2</f>
        <v>The University of Texas Health Science Center at Houston</v>
      </c>
      <c r="C195" s="180"/>
      <c r="D195" s="355">
        <f>'HSH FGD'!$D$26</f>
        <v>-292964</v>
      </c>
      <c r="E195" s="355">
        <f>'HSH FGD'!$E$26</f>
        <v>-200586</v>
      </c>
      <c r="F195" s="355">
        <f>'HSH FGD'!$F$26</f>
        <v>0</v>
      </c>
      <c r="G195" s="355">
        <f>'HSH FGD'!$G$26</f>
        <v>0</v>
      </c>
      <c r="H195" s="355">
        <f>'HSH FGD'!$H$26</f>
        <v>0</v>
      </c>
      <c r="I195" s="355">
        <f>'HSH FGD'!$I$26</f>
        <v>0</v>
      </c>
      <c r="J195" s="355">
        <f>'HSH FGD'!$J$26</f>
        <v>0</v>
      </c>
      <c r="K195" s="355">
        <f>'HSH FGD'!$K$26</f>
        <v>0</v>
      </c>
      <c r="L195" s="355">
        <f>'HSH FGD'!$L$26</f>
        <v>0</v>
      </c>
      <c r="M195" s="543">
        <f>'HSH FGD'!$M$26</f>
        <v>-493550</v>
      </c>
    </row>
    <row r="196" spans="1:13" s="50" customFormat="1" ht="12.75" hidden="1" customHeight="1" outlineLevel="1">
      <c r="A196" s="293"/>
      <c r="B196" s="392" t="str">
        <f>'HSSA FGD'!$B$2</f>
        <v>The University of Texas Health Science Center at San Antonio</v>
      </c>
      <c r="C196" s="180"/>
      <c r="D196" s="355">
        <f>'HSSA FGD'!$D$26</f>
        <v>-1190020</v>
      </c>
      <c r="E196" s="355">
        <f>'HSSA FGD'!$E$26</f>
        <v>0</v>
      </c>
      <c r="F196" s="355">
        <f>'HSSA FGD'!$F$26</f>
        <v>0</v>
      </c>
      <c r="G196" s="355">
        <f>'HSSA FGD'!$G$26</f>
        <v>0</v>
      </c>
      <c r="H196" s="355">
        <f>'HSSA FGD'!$H$26</f>
        <v>0</v>
      </c>
      <c r="I196" s="355">
        <f>'HSSA FGD'!$I$26</f>
        <v>0</v>
      </c>
      <c r="J196" s="355">
        <f>'HSSA FGD'!$J$26</f>
        <v>0</v>
      </c>
      <c r="K196" s="355">
        <f>'HSSA FGD'!$K$26</f>
        <v>0</v>
      </c>
      <c r="L196" s="355">
        <f>'HSSA FGD'!$L$26</f>
        <v>0</v>
      </c>
      <c r="M196" s="543">
        <f>'HSSA FGD'!$M$26</f>
        <v>-1190020</v>
      </c>
    </row>
    <row r="197" spans="1:13" s="50" customFormat="1" ht="12.75" hidden="1" customHeight="1" outlineLevel="1">
      <c r="A197" s="293"/>
      <c r="B197" s="392" t="str">
        <f>'MBG FGD'!$B$2</f>
        <v>The University of Texas Medical Branch at Galveston</v>
      </c>
      <c r="C197" s="180"/>
      <c r="D197" s="355">
        <f>'MBG FGD'!$D$26</f>
        <v>-203519</v>
      </c>
      <c r="E197" s="355">
        <f>'MBG FGD'!$E$26</f>
        <v>-463868</v>
      </c>
      <c r="F197" s="355">
        <f>'MBG FGD'!$F$26</f>
        <v>0</v>
      </c>
      <c r="G197" s="355">
        <f>'MBG FGD'!$G$26</f>
        <v>0</v>
      </c>
      <c r="H197" s="355">
        <f>'MBG FGD'!$H$26</f>
        <v>0</v>
      </c>
      <c r="I197" s="355">
        <f>'MBG FGD'!$I$26</f>
        <v>0</v>
      </c>
      <c r="J197" s="355">
        <f>'MBG FGD'!$J$26</f>
        <v>0</v>
      </c>
      <c r="K197" s="355">
        <f>'MBG FGD'!$K$26</f>
        <v>0</v>
      </c>
      <c r="L197" s="355">
        <f>'MBG FGD'!$L$26</f>
        <v>0</v>
      </c>
      <c r="M197" s="543">
        <f>'MBG FGD'!$M$26</f>
        <v>-667387</v>
      </c>
    </row>
    <row r="198" spans="1:13" s="50" customFormat="1" ht="12.75" hidden="1" customHeight="1" outlineLevel="1">
      <c r="A198" s="293"/>
      <c r="B198" s="392" t="str">
        <f>'MDA FGD'!$B$2</f>
        <v>The University of Texas M.D. Anderson Cancer Center</v>
      </c>
      <c r="C198" s="180"/>
      <c r="D198" s="355">
        <f>'MDA FGD'!$D$26</f>
        <v>-9200</v>
      </c>
      <c r="E198" s="355">
        <f>'MDA FGD'!$E$26</f>
        <v>0</v>
      </c>
      <c r="F198" s="355">
        <f>'MDA FGD'!$F$26</f>
        <v>0</v>
      </c>
      <c r="G198" s="355">
        <f>'MDA FGD'!$G$26</f>
        <v>0</v>
      </c>
      <c r="H198" s="355">
        <f>'MDA FGD'!$H$26</f>
        <v>0</v>
      </c>
      <c r="I198" s="355">
        <f>'MDA FGD'!$I$26</f>
        <v>0</v>
      </c>
      <c r="J198" s="355">
        <f>'MDA FGD'!$J$26</f>
        <v>0</v>
      </c>
      <c r="K198" s="355">
        <f>'MDA FGD'!$K$26</f>
        <v>0</v>
      </c>
      <c r="L198" s="355">
        <f>'MDA FGD'!$L$26</f>
        <v>0</v>
      </c>
      <c r="M198" s="543">
        <f>'MDA FGD'!$M$26</f>
        <v>-9200</v>
      </c>
    </row>
    <row r="199" spans="1:13" s="50" customFormat="1" ht="12.75" hidden="1" customHeight="1" outlineLevel="1">
      <c r="A199" s="293"/>
      <c r="B199" s="392" t="str">
        <f>'RGVM FGD'!$B$2</f>
        <v>The University of Texas Rio Grande Valley Medical School (M)</v>
      </c>
      <c r="C199" s="180"/>
      <c r="D199" s="355">
        <f>'RGVM FGD'!$D$26</f>
        <v>-9611</v>
      </c>
      <c r="E199" s="355">
        <f>'RGVM FGD'!$E$26</f>
        <v>0</v>
      </c>
      <c r="F199" s="355">
        <f>'RGVM FGD'!$F$26</f>
        <v>0</v>
      </c>
      <c r="G199" s="355">
        <f>'RGVM FGD'!$G$26</f>
        <v>0</v>
      </c>
      <c r="H199" s="355">
        <f>'RGVM FGD'!$H$26</f>
        <v>0</v>
      </c>
      <c r="I199" s="355">
        <f>'RGVM FGD'!$I$26</f>
        <v>0</v>
      </c>
      <c r="J199" s="355">
        <f>'RGVM FGD'!$J$26</f>
        <v>0</v>
      </c>
      <c r="K199" s="355">
        <f>'RGVM FGD'!$K$26</f>
        <v>0</v>
      </c>
      <c r="L199" s="355">
        <f>'RGVM FGD'!$L$26</f>
        <v>0</v>
      </c>
      <c r="M199" s="543">
        <f>'RGVM FGD'!$M$26</f>
        <v>-9611</v>
      </c>
    </row>
    <row r="200" spans="1:13" s="50" customFormat="1" ht="12.75" hidden="1" customHeight="1" outlineLevel="1">
      <c r="A200" s="293"/>
      <c r="B200" s="392" t="str">
        <f>'SWM FGD'!$B$2</f>
        <v>The University of Texas Southwestern Medical Center</v>
      </c>
      <c r="C200" s="180"/>
      <c r="D200" s="355">
        <f>'SWM FGD'!$D$26</f>
        <v>-297179</v>
      </c>
      <c r="E200" s="355">
        <f>'SWM FGD'!$E$26</f>
        <v>0</v>
      </c>
      <c r="F200" s="355">
        <f>'SWM FGD'!$F$26</f>
        <v>0</v>
      </c>
      <c r="G200" s="355">
        <f>'SWM FGD'!$G$26</f>
        <v>0</v>
      </c>
      <c r="H200" s="355">
        <f>'SWM FGD'!$H$26</f>
        <v>0</v>
      </c>
      <c r="I200" s="355">
        <f>'SWM FGD'!$I$26</f>
        <v>0</v>
      </c>
      <c r="J200" s="355">
        <f>'SWM FGD'!$J$26</f>
        <v>0</v>
      </c>
      <c r="K200" s="355">
        <f>'SWM FGD'!$K$26</f>
        <v>0</v>
      </c>
      <c r="L200" s="355">
        <f>'SWM FGD'!$L$26</f>
        <v>0</v>
      </c>
      <c r="M200" s="543">
        <f>'SWM FGD'!$M$26</f>
        <v>-297179</v>
      </c>
    </row>
    <row r="201" spans="1:13" s="50" customFormat="1" ht="12.75" hidden="1" customHeight="1" outlineLevel="1">
      <c r="A201" s="293"/>
      <c r="B201" s="392" t="str">
        <f>'TAMHSC FGD'!$B$2</f>
        <v>Texas A&amp;M University System Health Science Center</v>
      </c>
      <c r="C201" s="180"/>
      <c r="D201" s="355">
        <f>'TAMHSC FGD'!$D$26</f>
        <v>-252792</v>
      </c>
      <c r="E201" s="355">
        <f>'TAMHSC FGD'!$E$26</f>
        <v>-166670</v>
      </c>
      <c r="F201" s="355">
        <f>'TAMHSC FGD'!$F$26</f>
        <v>0</v>
      </c>
      <c r="G201" s="355">
        <f>'TAMHSC FGD'!$G$26</f>
        <v>0</v>
      </c>
      <c r="H201" s="355">
        <f>'TAMHSC FGD'!$H$26</f>
        <v>0</v>
      </c>
      <c r="I201" s="355">
        <f>'TAMHSC FGD'!$I$26</f>
        <v>0</v>
      </c>
      <c r="J201" s="355">
        <f>'TAMHSC FGD'!$J$26</f>
        <v>0</v>
      </c>
      <c r="K201" s="355">
        <f>'TAMHSC FGD'!$K$26</f>
        <v>0</v>
      </c>
      <c r="L201" s="355">
        <f>'TAMHSC FGD'!$L$26</f>
        <v>0</v>
      </c>
      <c r="M201" s="543">
        <f>'TAMHSC FGD'!$M$26</f>
        <v>-419462</v>
      </c>
    </row>
    <row r="202" spans="1:13" s="50" customFormat="1" ht="12.75" hidden="1" customHeight="1" outlineLevel="1">
      <c r="A202" s="293"/>
      <c r="B202" s="392" t="str">
        <f>'THC FGD'!$B$2</f>
        <v>The University of Texas Health Science Center at Tyler</v>
      </c>
      <c r="C202" s="180"/>
      <c r="D202" s="355">
        <f>'THC FGD'!$D$26</f>
        <v>0</v>
      </c>
      <c r="E202" s="355">
        <f>'THC FGD'!$E$26</f>
        <v>0</v>
      </c>
      <c r="F202" s="355">
        <f>'THC FGD'!$F$26</f>
        <v>0</v>
      </c>
      <c r="G202" s="355">
        <f>'THC FGD'!$G$26</f>
        <v>0</v>
      </c>
      <c r="H202" s="355">
        <f>'THC FGD'!$H$26</f>
        <v>0</v>
      </c>
      <c r="I202" s="355">
        <f>'THC FGD'!$I$26</f>
        <v>0</v>
      </c>
      <c r="J202" s="355">
        <f>'THC FGD'!$J$26</f>
        <v>0</v>
      </c>
      <c r="K202" s="355">
        <f>'THC FGD'!$K$26</f>
        <v>0</v>
      </c>
      <c r="L202" s="355">
        <f>'THC FGD'!$L$26</f>
        <v>0</v>
      </c>
      <c r="M202" s="543">
        <f>'THC FGD'!$M$26</f>
        <v>0</v>
      </c>
    </row>
    <row r="203" spans="1:13" s="50" customFormat="1" ht="12.75" hidden="1" customHeight="1" outlineLevel="1">
      <c r="A203" s="293"/>
      <c r="B203" s="392" t="str">
        <f>'TTUHSC FGD'!$B$2</f>
        <v>Texas Tech University Health Sciences Center</v>
      </c>
      <c r="C203" s="180"/>
      <c r="D203" s="355">
        <f>'TTUHSC FGD'!$D$26</f>
        <v>-413470</v>
      </c>
      <c r="E203" s="355">
        <f>'TTUHSC FGD'!$E$26</f>
        <v>-1057767</v>
      </c>
      <c r="F203" s="355">
        <f>'TTUHSC FGD'!$F$26</f>
        <v>0</v>
      </c>
      <c r="G203" s="355">
        <f>'TTUHSC FGD'!$G$26</f>
        <v>0</v>
      </c>
      <c r="H203" s="355">
        <f>'TTUHSC FGD'!$H$26</f>
        <v>0</v>
      </c>
      <c r="I203" s="355">
        <f>'TTUHSC FGD'!$I$26</f>
        <v>0</v>
      </c>
      <c r="J203" s="355">
        <f>'TTUHSC FGD'!$J$26</f>
        <v>0</v>
      </c>
      <c r="K203" s="355">
        <f>'TTUHSC FGD'!$K$26</f>
        <v>0</v>
      </c>
      <c r="L203" s="355">
        <f>'TTUHSC FGD'!$L$26</f>
        <v>0</v>
      </c>
      <c r="M203" s="543">
        <f>'TTUHSC FGD'!$M$26</f>
        <v>-1471237</v>
      </c>
    </row>
    <row r="204" spans="1:13" s="50" customFormat="1" ht="12.75" hidden="1" customHeight="1" outlineLevel="1">
      <c r="A204" s="293"/>
      <c r="B204" s="392" t="str">
        <f>'TTUHSCEP FGD'!$B$2</f>
        <v>Texas Tech University Health Sciences Center at El Paso</v>
      </c>
      <c r="C204" s="180"/>
      <c r="D204" s="355">
        <f>'TTUHSCEP FGD'!$D$26</f>
        <v>-67400</v>
      </c>
      <c r="E204" s="355">
        <f>'TTUHSCEP FGD'!$E$26</f>
        <v>-120488</v>
      </c>
      <c r="F204" s="355">
        <f>'TTUHSCEP FGD'!$F$26</f>
        <v>0</v>
      </c>
      <c r="G204" s="355">
        <f>'TTUHSCEP FGD'!$G$26</f>
        <v>0</v>
      </c>
      <c r="H204" s="355">
        <f>'TTUHSCEP FGD'!$H$26</f>
        <v>0</v>
      </c>
      <c r="I204" s="355">
        <f>'TTUHSCEP FGD'!$I$26</f>
        <v>0</v>
      </c>
      <c r="J204" s="355">
        <f>'TTUHSCEP FGD'!$J$26</f>
        <v>0</v>
      </c>
      <c r="K204" s="355">
        <f>'TTUHSCEP FGD'!$K$26</f>
        <v>0</v>
      </c>
      <c r="L204" s="355">
        <f>'TTUHSCEP FGD'!$L$26</f>
        <v>0</v>
      </c>
      <c r="M204" s="543">
        <f>'TTUHSCEP FGD'!$M$26</f>
        <v>-187888</v>
      </c>
    </row>
    <row r="205" spans="1:13" s="50" customFormat="1" ht="12.75" hidden="1" customHeight="1" outlineLevel="1">
      <c r="A205" s="293"/>
      <c r="B205" s="392" t="str">
        <f>'UNTHSC FGD'!$B$2</f>
        <v>University of North Texas Health Science Center at Fort Worth</v>
      </c>
      <c r="C205" s="180"/>
      <c r="D205" s="355">
        <f>'UNTHSC FGD'!$D$26</f>
        <v>0</v>
      </c>
      <c r="E205" s="355">
        <f>'UNTHSC FGD'!$E$26</f>
        <v>0</v>
      </c>
      <c r="F205" s="355">
        <f>'UNTHSC FGD'!$F$26</f>
        <v>0</v>
      </c>
      <c r="G205" s="355">
        <f>'UNTHSC FGD'!$G$26</f>
        <v>0</v>
      </c>
      <c r="H205" s="355">
        <f>'UNTHSC FGD'!$H$26</f>
        <v>0</v>
      </c>
      <c r="I205" s="355">
        <f>'UNTHSC FGD'!$I$26</f>
        <v>0</v>
      </c>
      <c r="J205" s="355">
        <f>'UNTHSC FGD'!$J$26</f>
        <v>0</v>
      </c>
      <c r="K205" s="355">
        <f>'UNTHSC FGD'!$K$26</f>
        <v>0</v>
      </c>
      <c r="L205" s="355">
        <f>'UNTHSC FGD'!$L$26</f>
        <v>0</v>
      </c>
      <c r="M205" s="543">
        <f>'UNTHSC FGD'!$M$26</f>
        <v>0</v>
      </c>
    </row>
    <row r="206" spans="1:13" s="50" customFormat="1" ht="12.75" customHeight="1" collapsed="1">
      <c r="A206" s="293"/>
      <c r="B206" s="51" t="s">
        <v>645</v>
      </c>
      <c r="C206" s="180"/>
      <c r="D206" s="355">
        <f t="shared" ref="D206:M206" si="14">SUM(D194:D205)</f>
        <v>-2736155</v>
      </c>
      <c r="E206" s="355">
        <f t="shared" si="14"/>
        <v>-2009379</v>
      </c>
      <c r="F206" s="355">
        <f t="shared" si="14"/>
        <v>0</v>
      </c>
      <c r="G206" s="355">
        <f t="shared" si="14"/>
        <v>0</v>
      </c>
      <c r="H206" s="355">
        <f t="shared" si="14"/>
        <v>0</v>
      </c>
      <c r="I206" s="355">
        <f t="shared" si="14"/>
        <v>0</v>
      </c>
      <c r="J206" s="355">
        <f t="shared" si="14"/>
        <v>0</v>
      </c>
      <c r="K206" s="355">
        <f t="shared" si="14"/>
        <v>0</v>
      </c>
      <c r="L206" s="355">
        <f t="shared" si="14"/>
        <v>0</v>
      </c>
      <c r="M206" s="543">
        <f t="shared" si="14"/>
        <v>-4745534</v>
      </c>
    </row>
    <row r="207" spans="1:13" s="50" customFormat="1" ht="12.75" hidden="1" customHeight="1" outlineLevel="1">
      <c r="A207" s="293"/>
      <c r="B207" s="392" t="str">
        <f>'AUSM FGD'!$B$2</f>
        <v>The University of Texas at Austin Medical School (M)</v>
      </c>
      <c r="C207" s="180"/>
      <c r="D207" s="355">
        <f>'AUSM FGD'!$D$27</f>
        <v>0</v>
      </c>
      <c r="E207" s="355">
        <f>'AUSM FGD'!$E$27</f>
        <v>0</v>
      </c>
      <c r="F207" s="355">
        <f>'AUSM FGD'!$F$27</f>
        <v>0</v>
      </c>
      <c r="G207" s="355">
        <f>'AUSM FGD'!$G$27</f>
        <v>0</v>
      </c>
      <c r="H207" s="355">
        <f>'AUSM FGD'!$H$27</f>
        <v>0</v>
      </c>
      <c r="I207" s="355">
        <f>'AUSM FGD'!$I$27</f>
        <v>0</v>
      </c>
      <c r="J207" s="355">
        <f>'AUSM FGD'!$J$27</f>
        <v>0</v>
      </c>
      <c r="K207" s="355">
        <f>'AUSM FGD'!$K$27</f>
        <v>0</v>
      </c>
      <c r="L207" s="355">
        <f>'AUSM FGD'!$L$27</f>
        <v>0</v>
      </c>
      <c r="M207" s="543">
        <f>'AUSM FGD'!$M$27</f>
        <v>0</v>
      </c>
    </row>
    <row r="208" spans="1:13" s="50" customFormat="1" ht="12.75" hidden="1" customHeight="1" outlineLevel="1">
      <c r="A208" s="293"/>
      <c r="B208" s="392" t="str">
        <f>'HSH FGD'!$B$2</f>
        <v>The University of Texas Health Science Center at Houston</v>
      </c>
      <c r="C208" s="180"/>
      <c r="D208" s="355">
        <f>'HSH FGD'!$D$27</f>
        <v>0</v>
      </c>
      <c r="E208" s="355">
        <f>'HSH FGD'!$E$27</f>
        <v>0</v>
      </c>
      <c r="F208" s="355">
        <f>'HSH FGD'!$F$27</f>
        <v>0</v>
      </c>
      <c r="G208" s="355">
        <f>'HSH FGD'!$G$27</f>
        <v>0</v>
      </c>
      <c r="H208" s="355">
        <f>'HSH FGD'!$H$27</f>
        <v>0</v>
      </c>
      <c r="I208" s="355">
        <f>'HSH FGD'!$I$27</f>
        <v>0</v>
      </c>
      <c r="J208" s="355">
        <f>'HSH FGD'!$J$27</f>
        <v>0</v>
      </c>
      <c r="K208" s="355">
        <f>'HSH FGD'!$K$27</f>
        <v>0</v>
      </c>
      <c r="L208" s="355">
        <f>'HSH FGD'!$L$27</f>
        <v>0</v>
      </c>
      <c r="M208" s="543">
        <f>'HSH FGD'!$M$27</f>
        <v>0</v>
      </c>
    </row>
    <row r="209" spans="1:13" s="50" customFormat="1" ht="12.75" hidden="1" customHeight="1" outlineLevel="1">
      <c r="A209" s="293"/>
      <c r="B209" s="392" t="str">
        <f>'HSSA FGD'!$B$2</f>
        <v>The University of Texas Health Science Center at San Antonio</v>
      </c>
      <c r="C209" s="180"/>
      <c r="D209" s="355">
        <f>'HSSA FGD'!$D$27</f>
        <v>0</v>
      </c>
      <c r="E209" s="355">
        <f>'HSSA FGD'!$E$27</f>
        <v>0</v>
      </c>
      <c r="F209" s="355">
        <f>'HSSA FGD'!$F$27</f>
        <v>0</v>
      </c>
      <c r="G209" s="355">
        <f>'HSSA FGD'!$G$27</f>
        <v>0</v>
      </c>
      <c r="H209" s="355">
        <f>'HSSA FGD'!$H$27</f>
        <v>0</v>
      </c>
      <c r="I209" s="355">
        <f>'HSSA FGD'!$I$27</f>
        <v>0</v>
      </c>
      <c r="J209" s="355">
        <f>'HSSA FGD'!$J$27</f>
        <v>0</v>
      </c>
      <c r="K209" s="355">
        <f>'HSSA FGD'!$K$27</f>
        <v>0</v>
      </c>
      <c r="L209" s="355">
        <f>'HSSA FGD'!$L$27</f>
        <v>0</v>
      </c>
      <c r="M209" s="543">
        <f>'HSSA FGD'!$M$27</f>
        <v>0</v>
      </c>
    </row>
    <row r="210" spans="1:13" s="50" customFormat="1" ht="12.75" hidden="1" customHeight="1" outlineLevel="1">
      <c r="A210" s="293"/>
      <c r="B210" s="392" t="str">
        <f>'MBG FGD'!$B$2</f>
        <v>The University of Texas Medical Branch at Galveston</v>
      </c>
      <c r="C210" s="180"/>
      <c r="D210" s="355">
        <f>'MBG FGD'!$D$27</f>
        <v>0</v>
      </c>
      <c r="E210" s="355">
        <f>'MBG FGD'!$E$27</f>
        <v>0</v>
      </c>
      <c r="F210" s="355">
        <f>'MBG FGD'!$F$27</f>
        <v>0</v>
      </c>
      <c r="G210" s="355">
        <f>'MBG FGD'!$G$27</f>
        <v>0</v>
      </c>
      <c r="H210" s="355">
        <f>'MBG FGD'!$H$27</f>
        <v>0</v>
      </c>
      <c r="I210" s="355">
        <f>'MBG FGD'!$I$27</f>
        <v>0</v>
      </c>
      <c r="J210" s="355">
        <f>'MBG FGD'!$J$27</f>
        <v>0</v>
      </c>
      <c r="K210" s="355">
        <f>'MBG FGD'!$K$27</f>
        <v>0</v>
      </c>
      <c r="L210" s="355">
        <f>'MBG FGD'!$L$27</f>
        <v>0</v>
      </c>
      <c r="M210" s="543">
        <f>'MBG FGD'!$M$27</f>
        <v>0</v>
      </c>
    </row>
    <row r="211" spans="1:13" s="50" customFormat="1" ht="12.75" hidden="1" customHeight="1" outlineLevel="1">
      <c r="A211" s="293"/>
      <c r="B211" s="392" t="str">
        <f>'MDA FGD'!$B$2</f>
        <v>The University of Texas M.D. Anderson Cancer Center</v>
      </c>
      <c r="C211" s="180"/>
      <c r="D211" s="355">
        <f>'MDA FGD'!$D$27</f>
        <v>0</v>
      </c>
      <c r="E211" s="355">
        <f>'MDA FGD'!$E$27</f>
        <v>-8648</v>
      </c>
      <c r="F211" s="355">
        <f>'MDA FGD'!$F$27</f>
        <v>0</v>
      </c>
      <c r="G211" s="355">
        <f>'MDA FGD'!$G$27</f>
        <v>0</v>
      </c>
      <c r="H211" s="355">
        <f>'MDA FGD'!$H$27</f>
        <v>0</v>
      </c>
      <c r="I211" s="355">
        <f>'MDA FGD'!$I$27</f>
        <v>0</v>
      </c>
      <c r="J211" s="355">
        <f>'MDA FGD'!$J$27</f>
        <v>0</v>
      </c>
      <c r="K211" s="355">
        <f>'MDA FGD'!$K$27</f>
        <v>0</v>
      </c>
      <c r="L211" s="355">
        <f>'MDA FGD'!$L$27</f>
        <v>0</v>
      </c>
      <c r="M211" s="543">
        <f>'MDA FGD'!$M$27</f>
        <v>-8648</v>
      </c>
    </row>
    <row r="212" spans="1:13" s="50" customFormat="1" ht="12.75" hidden="1" customHeight="1" outlineLevel="1">
      <c r="A212" s="293"/>
      <c r="B212" s="392" t="str">
        <f>'RGVM FGD'!$B$2</f>
        <v>The University of Texas Rio Grande Valley Medical School (M)</v>
      </c>
      <c r="C212" s="180"/>
      <c r="D212" s="355">
        <f>'RGVM FGD'!$D$27</f>
        <v>0</v>
      </c>
      <c r="E212" s="355">
        <f>'RGVM FGD'!$E$27</f>
        <v>0</v>
      </c>
      <c r="F212" s="355">
        <f>'RGVM FGD'!$F$27</f>
        <v>0</v>
      </c>
      <c r="G212" s="355">
        <f>'RGVM FGD'!$G$27</f>
        <v>0</v>
      </c>
      <c r="H212" s="355">
        <f>'RGVM FGD'!$H$27</f>
        <v>0</v>
      </c>
      <c r="I212" s="355">
        <f>'RGVM FGD'!$I$27</f>
        <v>0</v>
      </c>
      <c r="J212" s="355">
        <f>'RGVM FGD'!$J$27</f>
        <v>0</v>
      </c>
      <c r="K212" s="355">
        <f>'RGVM FGD'!$K$27</f>
        <v>0</v>
      </c>
      <c r="L212" s="355">
        <f>'RGVM FGD'!$L$27</f>
        <v>0</v>
      </c>
      <c r="M212" s="543">
        <f>'RGVM FGD'!$M$27</f>
        <v>0</v>
      </c>
    </row>
    <row r="213" spans="1:13" s="50" customFormat="1" ht="12.75" hidden="1" customHeight="1" outlineLevel="1">
      <c r="A213" s="293"/>
      <c r="B213" s="392" t="str">
        <f>'SWM FGD'!$B$2</f>
        <v>The University of Texas Southwestern Medical Center</v>
      </c>
      <c r="C213" s="180"/>
      <c r="D213" s="355">
        <f>'SWM FGD'!$D$27</f>
        <v>0</v>
      </c>
      <c r="E213" s="355">
        <f>'SWM FGD'!$E$27</f>
        <v>0</v>
      </c>
      <c r="F213" s="355">
        <f>'SWM FGD'!$F$27</f>
        <v>0</v>
      </c>
      <c r="G213" s="355">
        <f>'SWM FGD'!$G$27</f>
        <v>0</v>
      </c>
      <c r="H213" s="355">
        <f>'SWM FGD'!$H$27</f>
        <v>0</v>
      </c>
      <c r="I213" s="355">
        <f>'SWM FGD'!$I$27</f>
        <v>0</v>
      </c>
      <c r="J213" s="355">
        <f>'SWM FGD'!$J$27</f>
        <v>0</v>
      </c>
      <c r="K213" s="355">
        <f>'SWM FGD'!$K$27</f>
        <v>0</v>
      </c>
      <c r="L213" s="355">
        <f>'SWM FGD'!$L$27</f>
        <v>0</v>
      </c>
      <c r="M213" s="543">
        <f>'SWM FGD'!$M$27</f>
        <v>0</v>
      </c>
    </row>
    <row r="214" spans="1:13" s="50" customFormat="1" ht="12.75" hidden="1" customHeight="1" outlineLevel="1">
      <c r="A214" s="293"/>
      <c r="B214" s="392" t="str">
        <f>'TAMHSC FGD'!$B$2</f>
        <v>Texas A&amp;M University System Health Science Center</v>
      </c>
      <c r="C214" s="180"/>
      <c r="D214" s="355">
        <f>'TAMHSC FGD'!$D$27</f>
        <v>0</v>
      </c>
      <c r="E214" s="355">
        <f>'TAMHSC FGD'!$E$27</f>
        <v>0</v>
      </c>
      <c r="F214" s="355">
        <f>'TAMHSC FGD'!$F$27</f>
        <v>0</v>
      </c>
      <c r="G214" s="355">
        <f>'TAMHSC FGD'!$G$27</f>
        <v>0</v>
      </c>
      <c r="H214" s="355">
        <f>'TAMHSC FGD'!$H$27</f>
        <v>0</v>
      </c>
      <c r="I214" s="355">
        <f>'TAMHSC FGD'!$I$27</f>
        <v>0</v>
      </c>
      <c r="J214" s="355">
        <f>'TAMHSC FGD'!$J$27</f>
        <v>0</v>
      </c>
      <c r="K214" s="355">
        <f>'TAMHSC FGD'!$K$27</f>
        <v>0</v>
      </c>
      <c r="L214" s="355">
        <f>'TAMHSC FGD'!$L$27</f>
        <v>0</v>
      </c>
      <c r="M214" s="543">
        <f>'TAMHSC FGD'!$M$27</f>
        <v>0</v>
      </c>
    </row>
    <row r="215" spans="1:13" s="50" customFormat="1" ht="12.75" hidden="1" customHeight="1" outlineLevel="1">
      <c r="A215" s="293"/>
      <c r="B215" s="392" t="str">
        <f>'THC FGD'!$B$2</f>
        <v>The University of Texas Health Science Center at Tyler</v>
      </c>
      <c r="C215" s="180"/>
      <c r="D215" s="355">
        <f>'THC FGD'!$D$27</f>
        <v>0</v>
      </c>
      <c r="E215" s="355">
        <f>'THC FGD'!$E$27</f>
        <v>0</v>
      </c>
      <c r="F215" s="355">
        <f>'THC FGD'!$F$27</f>
        <v>0</v>
      </c>
      <c r="G215" s="355">
        <f>'THC FGD'!$G$27</f>
        <v>0</v>
      </c>
      <c r="H215" s="355">
        <f>'THC FGD'!$H$27</f>
        <v>0</v>
      </c>
      <c r="I215" s="355">
        <f>'THC FGD'!$I$27</f>
        <v>0</v>
      </c>
      <c r="J215" s="355">
        <f>'THC FGD'!$J$27</f>
        <v>0</v>
      </c>
      <c r="K215" s="355">
        <f>'THC FGD'!$K$27</f>
        <v>0</v>
      </c>
      <c r="L215" s="355">
        <f>'THC FGD'!$L$27</f>
        <v>0</v>
      </c>
      <c r="M215" s="543">
        <f>'THC FGD'!$M$27</f>
        <v>0</v>
      </c>
    </row>
    <row r="216" spans="1:13" s="50" customFormat="1" ht="12.75" hidden="1" customHeight="1" outlineLevel="1">
      <c r="A216" s="293"/>
      <c r="B216" s="392" t="str">
        <f>'TTUHSC FGD'!$B$2</f>
        <v>Texas Tech University Health Sciences Center</v>
      </c>
      <c r="C216" s="180"/>
      <c r="D216" s="355">
        <f>'TTUHSC FGD'!$D$27</f>
        <v>0</v>
      </c>
      <c r="E216" s="355">
        <f>'TTUHSC FGD'!$E$27</f>
        <v>0</v>
      </c>
      <c r="F216" s="355">
        <f>'TTUHSC FGD'!$F$27</f>
        <v>0</v>
      </c>
      <c r="G216" s="355">
        <f>'TTUHSC FGD'!$G$27</f>
        <v>0</v>
      </c>
      <c r="H216" s="355">
        <f>'TTUHSC FGD'!$H$27</f>
        <v>0</v>
      </c>
      <c r="I216" s="355">
        <f>'TTUHSC FGD'!$I$27</f>
        <v>0</v>
      </c>
      <c r="J216" s="355">
        <f>'TTUHSC FGD'!$J$27</f>
        <v>0</v>
      </c>
      <c r="K216" s="355">
        <f>'TTUHSC FGD'!$K$27</f>
        <v>0</v>
      </c>
      <c r="L216" s="355">
        <f>'TTUHSC FGD'!$L$27</f>
        <v>0</v>
      </c>
      <c r="M216" s="543">
        <f>'TTUHSC FGD'!$M$27</f>
        <v>0</v>
      </c>
    </row>
    <row r="217" spans="1:13" s="50" customFormat="1" ht="12.75" hidden="1" customHeight="1" outlineLevel="1">
      <c r="A217" s="293"/>
      <c r="B217" s="392" t="str">
        <f>'TTUHSCEP FGD'!$B$2</f>
        <v>Texas Tech University Health Sciences Center at El Paso</v>
      </c>
      <c r="C217" s="180"/>
      <c r="D217" s="355">
        <f>'TTUHSCEP FGD'!$D$27</f>
        <v>0</v>
      </c>
      <c r="E217" s="355">
        <f>'TTUHSCEP FGD'!$E$27</f>
        <v>0</v>
      </c>
      <c r="F217" s="355">
        <f>'TTUHSCEP FGD'!$F$27</f>
        <v>0</v>
      </c>
      <c r="G217" s="355">
        <f>'TTUHSCEP FGD'!$G$27</f>
        <v>0</v>
      </c>
      <c r="H217" s="355">
        <f>'TTUHSCEP FGD'!$H$27</f>
        <v>0</v>
      </c>
      <c r="I217" s="355">
        <f>'TTUHSCEP FGD'!$I$27</f>
        <v>0</v>
      </c>
      <c r="J217" s="355">
        <f>'TTUHSCEP FGD'!$J$27</f>
        <v>0</v>
      </c>
      <c r="K217" s="355">
        <f>'TTUHSCEP FGD'!$K$27</f>
        <v>0</v>
      </c>
      <c r="L217" s="355">
        <f>'TTUHSCEP FGD'!$L$27</f>
        <v>0</v>
      </c>
      <c r="M217" s="543">
        <f>'TTUHSCEP FGD'!$M$27</f>
        <v>0</v>
      </c>
    </row>
    <row r="218" spans="1:13" s="50" customFormat="1" ht="12.75" hidden="1" customHeight="1" outlineLevel="1">
      <c r="A218" s="293"/>
      <c r="B218" s="392" t="str">
        <f>'UNTHSC FGD'!$B$2</f>
        <v>University of North Texas Health Science Center at Fort Worth</v>
      </c>
      <c r="C218" s="180"/>
      <c r="D218" s="355">
        <f>'UNTHSC FGD'!$D$27</f>
        <v>0</v>
      </c>
      <c r="E218" s="355">
        <f>'UNTHSC FGD'!$E$27</f>
        <v>0</v>
      </c>
      <c r="F218" s="355">
        <f>'UNTHSC FGD'!$F$27</f>
        <v>0</v>
      </c>
      <c r="G218" s="355">
        <f>'UNTHSC FGD'!$G$27</f>
        <v>0</v>
      </c>
      <c r="H218" s="355">
        <f>'UNTHSC FGD'!$H$27</f>
        <v>0</v>
      </c>
      <c r="I218" s="355">
        <f>'UNTHSC FGD'!$I$27</f>
        <v>0</v>
      </c>
      <c r="J218" s="355">
        <f>'UNTHSC FGD'!$J$27</f>
        <v>0</v>
      </c>
      <c r="K218" s="355">
        <f>'UNTHSC FGD'!$K$27</f>
        <v>0</v>
      </c>
      <c r="L218" s="355">
        <f>'UNTHSC FGD'!$L$27</f>
        <v>0</v>
      </c>
      <c r="M218" s="543">
        <f>'UNTHSC FGD'!$M$27</f>
        <v>0</v>
      </c>
    </row>
    <row r="219" spans="1:13" s="50" customFormat="1" collapsed="1">
      <c r="A219" s="293"/>
      <c r="B219" s="51" t="s">
        <v>646</v>
      </c>
      <c r="C219" s="180"/>
      <c r="D219" s="355">
        <f t="shared" ref="D219:M219" si="15">SUM(D207:D218)</f>
        <v>0</v>
      </c>
      <c r="E219" s="355">
        <f t="shared" si="15"/>
        <v>-8648</v>
      </c>
      <c r="F219" s="355">
        <f t="shared" si="15"/>
        <v>0</v>
      </c>
      <c r="G219" s="355">
        <f t="shared" si="15"/>
        <v>0</v>
      </c>
      <c r="H219" s="355">
        <f t="shared" si="15"/>
        <v>0</v>
      </c>
      <c r="I219" s="355">
        <f t="shared" si="15"/>
        <v>0</v>
      </c>
      <c r="J219" s="355">
        <f t="shared" si="15"/>
        <v>0</v>
      </c>
      <c r="K219" s="355">
        <f t="shared" si="15"/>
        <v>0</v>
      </c>
      <c r="L219" s="355">
        <f t="shared" si="15"/>
        <v>0</v>
      </c>
      <c r="M219" s="543">
        <f t="shared" si="15"/>
        <v>-8648</v>
      </c>
    </row>
    <row r="220" spans="1:13" s="50" customFormat="1" hidden="1" outlineLevel="1">
      <c r="A220" s="293"/>
      <c r="B220" s="392" t="str">
        <f>'AUSM FGD'!$B$2</f>
        <v>The University of Texas at Austin Medical School (M)</v>
      </c>
      <c r="C220" s="180"/>
      <c r="D220" s="355">
        <f>'AUSM FGD'!$D$28</f>
        <v>-207731</v>
      </c>
      <c r="E220" s="355">
        <f>'AUSM FGD'!$E$28</f>
        <v>0</v>
      </c>
      <c r="F220" s="355">
        <f>'AUSM FGD'!$F$28</f>
        <v>0</v>
      </c>
      <c r="G220" s="355">
        <f>'AUSM FGD'!$G$28</f>
        <v>0</v>
      </c>
      <c r="H220" s="355">
        <f>'AUSM FGD'!$H$28</f>
        <v>0</v>
      </c>
      <c r="I220" s="355">
        <f>'AUSM FGD'!$I$28</f>
        <v>0</v>
      </c>
      <c r="J220" s="355">
        <f>'AUSM FGD'!$J$28</f>
        <v>0</v>
      </c>
      <c r="K220" s="355">
        <f>'AUSM FGD'!$K$28</f>
        <v>0</v>
      </c>
      <c r="L220" s="355">
        <f>'AUSM FGD'!$L$28</f>
        <v>0</v>
      </c>
      <c r="M220" s="543">
        <f>'AUSM FGD'!$M$28</f>
        <v>-207731</v>
      </c>
    </row>
    <row r="221" spans="1:13" s="50" customFormat="1" hidden="1" outlineLevel="1">
      <c r="A221" s="293"/>
      <c r="B221" s="392" t="str">
        <f>'HSH FGD'!$B$2</f>
        <v>The University of Texas Health Science Center at Houston</v>
      </c>
      <c r="C221" s="180"/>
      <c r="D221" s="355">
        <f>'HSH FGD'!$D$28</f>
        <v>-468323</v>
      </c>
      <c r="E221" s="355">
        <f>'HSH FGD'!$E$28</f>
        <v>-216594</v>
      </c>
      <c r="F221" s="355">
        <f>'HSH FGD'!$F$28</f>
        <v>0</v>
      </c>
      <c r="G221" s="355">
        <f>'HSH FGD'!$G$28</f>
        <v>0</v>
      </c>
      <c r="H221" s="355">
        <f>'HSH FGD'!$H$28</f>
        <v>0</v>
      </c>
      <c r="I221" s="355">
        <f>'HSH FGD'!$I$28</f>
        <v>0</v>
      </c>
      <c r="J221" s="355">
        <f>'HSH FGD'!$J$28</f>
        <v>0</v>
      </c>
      <c r="K221" s="355">
        <f>'HSH FGD'!$K$28</f>
        <v>0</v>
      </c>
      <c r="L221" s="355">
        <f>'HSH FGD'!$L$28</f>
        <v>0</v>
      </c>
      <c r="M221" s="543">
        <f>'HSH FGD'!$M$28</f>
        <v>-684917</v>
      </c>
    </row>
    <row r="222" spans="1:13" s="50" customFormat="1" hidden="1" outlineLevel="1">
      <c r="A222" s="293"/>
      <c r="B222" s="392" t="str">
        <f>'HSSA FGD'!$B$2</f>
        <v>The University of Texas Health Science Center at San Antonio</v>
      </c>
      <c r="C222" s="180"/>
      <c r="D222" s="355">
        <f>'HSSA FGD'!$D$28</f>
        <v>-3086263</v>
      </c>
      <c r="E222" s="355">
        <f>'HSSA FGD'!$E$28</f>
        <v>0</v>
      </c>
      <c r="F222" s="355">
        <f>'HSSA FGD'!$F$28</f>
        <v>0</v>
      </c>
      <c r="G222" s="355">
        <f>'HSSA FGD'!$G$28</f>
        <v>0</v>
      </c>
      <c r="H222" s="355">
        <f>'HSSA FGD'!$H$28</f>
        <v>0</v>
      </c>
      <c r="I222" s="355">
        <f>'HSSA FGD'!$I$28</f>
        <v>0</v>
      </c>
      <c r="J222" s="355">
        <f>'HSSA FGD'!$J$28</f>
        <v>0</v>
      </c>
      <c r="K222" s="355">
        <f>'HSSA FGD'!$K$28</f>
        <v>0</v>
      </c>
      <c r="L222" s="355">
        <f>'HSSA FGD'!$L$28</f>
        <v>0</v>
      </c>
      <c r="M222" s="543">
        <f>'HSSA FGD'!$M$28</f>
        <v>-3086263</v>
      </c>
    </row>
    <row r="223" spans="1:13" s="50" customFormat="1" hidden="1" outlineLevel="1">
      <c r="A223" s="293"/>
      <c r="B223" s="392" t="str">
        <f>'MBG FGD'!$B$2</f>
        <v>The University of Texas Medical Branch at Galveston</v>
      </c>
      <c r="C223" s="180"/>
      <c r="D223" s="355">
        <f>'MBG FGD'!$D$28</f>
        <v>-1135126</v>
      </c>
      <c r="E223" s="355">
        <f>'MBG FGD'!$E$28</f>
        <v>-642755</v>
      </c>
      <c r="F223" s="355">
        <f>'MBG FGD'!$F$28</f>
        <v>0</v>
      </c>
      <c r="G223" s="355">
        <f>'MBG FGD'!$G$28</f>
        <v>0</v>
      </c>
      <c r="H223" s="355">
        <f>'MBG FGD'!$H$28</f>
        <v>0</v>
      </c>
      <c r="I223" s="355">
        <f>'MBG FGD'!$I$28</f>
        <v>0</v>
      </c>
      <c r="J223" s="355">
        <f>'MBG FGD'!$J$28</f>
        <v>0</v>
      </c>
      <c r="K223" s="355">
        <f>'MBG FGD'!$K$28</f>
        <v>0</v>
      </c>
      <c r="L223" s="355">
        <f>'MBG FGD'!$L$28</f>
        <v>0</v>
      </c>
      <c r="M223" s="543">
        <f>'MBG FGD'!$M$28</f>
        <v>-1777881</v>
      </c>
    </row>
    <row r="224" spans="1:13" s="50" customFormat="1" hidden="1" outlineLevel="1">
      <c r="A224" s="293"/>
      <c r="B224" s="392" t="str">
        <f>'MDA FGD'!$B$2</f>
        <v>The University of Texas M.D. Anderson Cancer Center</v>
      </c>
      <c r="C224" s="180"/>
      <c r="D224" s="355">
        <f>'MDA FGD'!$D$28</f>
        <v>0</v>
      </c>
      <c r="E224" s="355">
        <f>'MDA FGD'!$E$28</f>
        <v>0</v>
      </c>
      <c r="F224" s="355">
        <f>'MDA FGD'!$F$28</f>
        <v>0</v>
      </c>
      <c r="G224" s="355">
        <f>'MDA FGD'!$G$28</f>
        <v>0</v>
      </c>
      <c r="H224" s="355">
        <f>'MDA FGD'!$H$28</f>
        <v>0</v>
      </c>
      <c r="I224" s="355">
        <f>'MDA FGD'!$I$28</f>
        <v>0</v>
      </c>
      <c r="J224" s="355">
        <f>'MDA FGD'!$J$28</f>
        <v>0</v>
      </c>
      <c r="K224" s="355">
        <f>'MDA FGD'!$K$28</f>
        <v>0</v>
      </c>
      <c r="L224" s="355">
        <f>'MDA FGD'!$L$28</f>
        <v>0</v>
      </c>
      <c r="M224" s="543">
        <f>'MDA FGD'!$M$28</f>
        <v>0</v>
      </c>
    </row>
    <row r="225" spans="1:13" s="50" customFormat="1" hidden="1" outlineLevel="1">
      <c r="A225" s="293"/>
      <c r="B225" s="392" t="str">
        <f>'RGVM FGD'!$B$2</f>
        <v>The University of Texas Rio Grande Valley Medical School (M)</v>
      </c>
      <c r="C225" s="180"/>
      <c r="D225" s="355">
        <f>'RGVM FGD'!$D$28</f>
        <v>0</v>
      </c>
      <c r="E225" s="355">
        <f>'RGVM FGD'!$E$28</f>
        <v>0</v>
      </c>
      <c r="F225" s="355">
        <f>'RGVM FGD'!$F$28</f>
        <v>0</v>
      </c>
      <c r="G225" s="355">
        <f>'RGVM FGD'!$G$28</f>
        <v>0</v>
      </c>
      <c r="H225" s="355">
        <f>'RGVM FGD'!$H$28</f>
        <v>0</v>
      </c>
      <c r="I225" s="355">
        <f>'RGVM FGD'!$I$28</f>
        <v>0</v>
      </c>
      <c r="J225" s="355">
        <f>'RGVM FGD'!$J$28</f>
        <v>0</v>
      </c>
      <c r="K225" s="355">
        <f>'RGVM FGD'!$K$28</f>
        <v>0</v>
      </c>
      <c r="L225" s="355">
        <f>'RGVM FGD'!$L$28</f>
        <v>0</v>
      </c>
      <c r="M225" s="543">
        <f>'RGVM FGD'!$M$28</f>
        <v>0</v>
      </c>
    </row>
    <row r="226" spans="1:13" s="50" customFormat="1" hidden="1" outlineLevel="1">
      <c r="A226" s="293"/>
      <c r="B226" s="392" t="str">
        <f>'SWM FGD'!$B$2</f>
        <v>The University of Texas Southwestern Medical Center</v>
      </c>
      <c r="C226" s="180"/>
      <c r="D226" s="355">
        <f>'SWM FGD'!$D$28</f>
        <v>31004</v>
      </c>
      <c r="E226" s="355">
        <f>'SWM FGD'!$E$28</f>
        <v>-431640</v>
      </c>
      <c r="F226" s="355">
        <f>'SWM FGD'!$F$28</f>
        <v>0</v>
      </c>
      <c r="G226" s="355">
        <f>'SWM FGD'!$G$28</f>
        <v>0</v>
      </c>
      <c r="H226" s="355">
        <f>'SWM FGD'!$H$28</f>
        <v>0</v>
      </c>
      <c r="I226" s="355">
        <f>'SWM FGD'!$I$28</f>
        <v>0</v>
      </c>
      <c r="J226" s="355">
        <f>'SWM FGD'!$J$28</f>
        <v>0</v>
      </c>
      <c r="K226" s="355">
        <f>'SWM FGD'!$K$28</f>
        <v>0</v>
      </c>
      <c r="L226" s="355">
        <f>'SWM FGD'!$L$28</f>
        <v>0</v>
      </c>
      <c r="M226" s="543">
        <f>'SWM FGD'!$M$28</f>
        <v>-400636</v>
      </c>
    </row>
    <row r="227" spans="1:13" s="50" customFormat="1" hidden="1" outlineLevel="1">
      <c r="A227" s="293"/>
      <c r="B227" s="392" t="str">
        <f>'TAMHSC FGD'!$B$2</f>
        <v>Texas A&amp;M University System Health Science Center</v>
      </c>
      <c r="C227" s="180"/>
      <c r="D227" s="355">
        <f>'TAMHSC FGD'!$D$28</f>
        <v>-1384092</v>
      </c>
      <c r="E227" s="355">
        <f>'TAMHSC FGD'!$E$28</f>
        <v>-688563</v>
      </c>
      <c r="F227" s="355">
        <f>'TAMHSC FGD'!$F$28</f>
        <v>0</v>
      </c>
      <c r="G227" s="355">
        <f>'TAMHSC FGD'!$G$28</f>
        <v>0</v>
      </c>
      <c r="H227" s="355">
        <f>'TAMHSC FGD'!$H$28</f>
        <v>0</v>
      </c>
      <c r="I227" s="355">
        <f>'TAMHSC FGD'!$I$28</f>
        <v>0</v>
      </c>
      <c r="J227" s="355">
        <f>'TAMHSC FGD'!$J$28</f>
        <v>0</v>
      </c>
      <c r="K227" s="355">
        <f>'TAMHSC FGD'!$K$28</f>
        <v>0</v>
      </c>
      <c r="L227" s="355">
        <f>'TAMHSC FGD'!$L$28</f>
        <v>0</v>
      </c>
      <c r="M227" s="543">
        <f>'TAMHSC FGD'!$M$28</f>
        <v>-2072655</v>
      </c>
    </row>
    <row r="228" spans="1:13" s="50" customFormat="1" hidden="1" outlineLevel="1">
      <c r="A228" s="293"/>
      <c r="B228" s="392" t="str">
        <f>'THC FGD'!$B$2</f>
        <v>The University of Texas Health Science Center at Tyler</v>
      </c>
      <c r="C228" s="180"/>
      <c r="D228" s="355">
        <f>'THC FGD'!$D$28</f>
        <v>0</v>
      </c>
      <c r="E228" s="355">
        <f>'THC FGD'!$E$28</f>
        <v>0</v>
      </c>
      <c r="F228" s="355">
        <f>'THC FGD'!$F$28</f>
        <v>0</v>
      </c>
      <c r="G228" s="355">
        <f>'THC FGD'!$G$28</f>
        <v>0</v>
      </c>
      <c r="H228" s="355">
        <f>'THC FGD'!$H$28</f>
        <v>0</v>
      </c>
      <c r="I228" s="355">
        <f>'THC FGD'!$I$28</f>
        <v>0</v>
      </c>
      <c r="J228" s="355">
        <f>'THC FGD'!$J$28</f>
        <v>0</v>
      </c>
      <c r="K228" s="355">
        <f>'THC FGD'!$K$28</f>
        <v>0</v>
      </c>
      <c r="L228" s="355">
        <f>'THC FGD'!$L$28</f>
        <v>0</v>
      </c>
      <c r="M228" s="543">
        <f>'THC FGD'!$M$28</f>
        <v>0</v>
      </c>
    </row>
    <row r="229" spans="1:13" s="50" customFormat="1" hidden="1" outlineLevel="1">
      <c r="A229" s="293"/>
      <c r="B229" s="392" t="str">
        <f>'TTUHSC FGD'!$B$2</f>
        <v>Texas Tech University Health Sciences Center</v>
      </c>
      <c r="C229" s="180"/>
      <c r="D229" s="355">
        <f>'TTUHSC FGD'!$D$28</f>
        <v>-1416951</v>
      </c>
      <c r="E229" s="355">
        <f>'TTUHSC FGD'!$E$28</f>
        <v>-3445126</v>
      </c>
      <c r="F229" s="355">
        <f>'TTUHSC FGD'!$F$28</f>
        <v>0</v>
      </c>
      <c r="G229" s="355">
        <f>'TTUHSC FGD'!$G$28</f>
        <v>0</v>
      </c>
      <c r="H229" s="355">
        <f>'TTUHSC FGD'!$H$28</f>
        <v>0</v>
      </c>
      <c r="I229" s="355">
        <f>'TTUHSC FGD'!$I$28</f>
        <v>0</v>
      </c>
      <c r="J229" s="355">
        <f>'TTUHSC FGD'!$J$28</f>
        <v>0</v>
      </c>
      <c r="K229" s="355">
        <f>'TTUHSC FGD'!$K$28</f>
        <v>0</v>
      </c>
      <c r="L229" s="355">
        <f>'TTUHSC FGD'!$L$28</f>
        <v>0</v>
      </c>
      <c r="M229" s="543">
        <f>'TTUHSC FGD'!$M$28</f>
        <v>-4862077</v>
      </c>
    </row>
    <row r="230" spans="1:13" s="50" customFormat="1" hidden="1" outlineLevel="1">
      <c r="A230" s="293"/>
      <c r="B230" s="392" t="str">
        <f>'TTUHSCEP FGD'!$B$2</f>
        <v>Texas Tech University Health Sciences Center at El Paso</v>
      </c>
      <c r="C230" s="180"/>
      <c r="D230" s="355">
        <f>'TTUHSCEP FGD'!$D$28</f>
        <v>-406505</v>
      </c>
      <c r="E230" s="355">
        <f>'TTUHSCEP FGD'!$E$28</f>
        <v>-1030415</v>
      </c>
      <c r="F230" s="355">
        <f>'TTUHSCEP FGD'!$F$28</f>
        <v>0</v>
      </c>
      <c r="G230" s="355">
        <f>'TTUHSCEP FGD'!$G$28</f>
        <v>0</v>
      </c>
      <c r="H230" s="355">
        <f>'TTUHSCEP FGD'!$H$28</f>
        <v>0</v>
      </c>
      <c r="I230" s="355">
        <f>'TTUHSCEP FGD'!$I$28</f>
        <v>0</v>
      </c>
      <c r="J230" s="355">
        <f>'TTUHSCEP FGD'!$J$28</f>
        <v>0</v>
      </c>
      <c r="K230" s="355">
        <f>'TTUHSCEP FGD'!$K$28</f>
        <v>0</v>
      </c>
      <c r="L230" s="355">
        <f>'TTUHSCEP FGD'!$L$28</f>
        <v>0</v>
      </c>
      <c r="M230" s="543">
        <f>'TTUHSCEP FGD'!$M$28</f>
        <v>-1436920</v>
      </c>
    </row>
    <row r="231" spans="1:13" s="50" customFormat="1" hidden="1" outlineLevel="1">
      <c r="A231" s="293"/>
      <c r="B231" s="392" t="str">
        <f>'UNTHSC FGD'!$B$2</f>
        <v>University of North Texas Health Science Center at Fort Worth</v>
      </c>
      <c r="C231" s="180"/>
      <c r="D231" s="355">
        <f>'UNTHSC FGD'!$D$28</f>
        <v>-1043318</v>
      </c>
      <c r="E231" s="355">
        <f>'UNTHSC FGD'!$E$28</f>
        <v>-1269838</v>
      </c>
      <c r="F231" s="355">
        <f>'UNTHSC FGD'!$F$28</f>
        <v>0</v>
      </c>
      <c r="G231" s="355">
        <f>'UNTHSC FGD'!$G$28</f>
        <v>0</v>
      </c>
      <c r="H231" s="355">
        <f>'UNTHSC FGD'!$H$28</f>
        <v>0</v>
      </c>
      <c r="I231" s="355">
        <f>'UNTHSC FGD'!$I$28</f>
        <v>0</v>
      </c>
      <c r="J231" s="355">
        <f>'UNTHSC FGD'!$J$28</f>
        <v>0</v>
      </c>
      <c r="K231" s="355">
        <f>'UNTHSC FGD'!$K$28</f>
        <v>0</v>
      </c>
      <c r="L231" s="355">
        <f>'UNTHSC FGD'!$L$28</f>
        <v>0</v>
      </c>
      <c r="M231" s="543">
        <f>'UNTHSC FGD'!$M$28</f>
        <v>-2313156</v>
      </c>
    </row>
    <row r="232" spans="1:13" s="50" customFormat="1" collapsed="1">
      <c r="A232" s="293"/>
      <c r="B232" s="51" t="s">
        <v>1361</v>
      </c>
      <c r="C232" s="180"/>
      <c r="D232" s="355">
        <f t="shared" ref="D232:M232" si="16">SUM(D220:D231)</f>
        <v>-9117305</v>
      </c>
      <c r="E232" s="355">
        <f t="shared" si="16"/>
        <v>-7724931</v>
      </c>
      <c r="F232" s="355">
        <f t="shared" si="16"/>
        <v>0</v>
      </c>
      <c r="G232" s="355">
        <f t="shared" si="16"/>
        <v>0</v>
      </c>
      <c r="H232" s="355">
        <f t="shared" si="16"/>
        <v>0</v>
      </c>
      <c r="I232" s="355">
        <f t="shared" si="16"/>
        <v>0</v>
      </c>
      <c r="J232" s="355">
        <f t="shared" si="16"/>
        <v>0</v>
      </c>
      <c r="K232" s="355">
        <f t="shared" si="16"/>
        <v>0</v>
      </c>
      <c r="L232" s="355">
        <f t="shared" si="16"/>
        <v>0</v>
      </c>
      <c r="M232" s="543">
        <f t="shared" si="16"/>
        <v>-16842236</v>
      </c>
    </row>
    <row r="233" spans="1:13" s="50" customFormat="1" hidden="1" outlineLevel="1">
      <c r="A233" s="293"/>
      <c r="B233" s="392" t="str">
        <f>'AUSM FGD'!$B$2</f>
        <v>The University of Texas at Austin Medical School (M)</v>
      </c>
      <c r="C233" s="180"/>
      <c r="D233" s="355">
        <f>'AUSM FGD'!$D$29</f>
        <v>727007</v>
      </c>
      <c r="E233" s="355">
        <f>'AUSM FGD'!$E$29</f>
        <v>1362879</v>
      </c>
      <c r="F233" s="355">
        <f>'AUSM FGD'!$F$29</f>
        <v>0</v>
      </c>
      <c r="G233" s="355">
        <f>'AUSM FGD'!$G$29</f>
        <v>0</v>
      </c>
      <c r="H233" s="355">
        <f>'AUSM FGD'!$H$29</f>
        <v>0</v>
      </c>
      <c r="I233" s="355">
        <f>'AUSM FGD'!$I$29</f>
        <v>0</v>
      </c>
      <c r="J233" s="355">
        <f>'AUSM FGD'!$J$29</f>
        <v>0</v>
      </c>
      <c r="K233" s="355">
        <f>'AUSM FGD'!$K$29</f>
        <v>0</v>
      </c>
      <c r="L233" s="355">
        <f>'AUSM FGD'!$L$29</f>
        <v>0</v>
      </c>
      <c r="M233" s="543">
        <f>'AUSM FGD'!$M$29</f>
        <v>2089886</v>
      </c>
    </row>
    <row r="234" spans="1:13" s="50" customFormat="1" hidden="1" outlineLevel="1">
      <c r="A234" s="293"/>
      <c r="B234" s="392" t="str">
        <f>'HSH FGD'!$B$2</f>
        <v>The University of Texas Health Science Center at Houston</v>
      </c>
      <c r="C234" s="180"/>
      <c r="D234" s="355">
        <f>'HSH FGD'!$D$29</f>
        <v>23473155</v>
      </c>
      <c r="E234" s="355">
        <f>'HSH FGD'!$E$29</f>
        <v>21650053</v>
      </c>
      <c r="F234" s="355">
        <f>'HSH FGD'!$F$29</f>
        <v>0</v>
      </c>
      <c r="G234" s="355">
        <f>'HSH FGD'!$G$29</f>
        <v>0</v>
      </c>
      <c r="H234" s="355">
        <f>'HSH FGD'!$H$29</f>
        <v>0</v>
      </c>
      <c r="I234" s="355">
        <f>'HSH FGD'!$I$29</f>
        <v>0</v>
      </c>
      <c r="J234" s="355">
        <f>'HSH FGD'!$J$29</f>
        <v>0</v>
      </c>
      <c r="K234" s="355">
        <f>'HSH FGD'!$K$29</f>
        <v>0</v>
      </c>
      <c r="L234" s="355">
        <f>'HSH FGD'!$L$29</f>
        <v>0</v>
      </c>
      <c r="M234" s="543">
        <f>'HSH FGD'!$M$29</f>
        <v>45123208</v>
      </c>
    </row>
    <row r="235" spans="1:13" s="50" customFormat="1" hidden="1" outlineLevel="1">
      <c r="A235" s="293"/>
      <c r="B235" s="392" t="str">
        <f>'HSSA FGD'!$B$2</f>
        <v>The University of Texas Health Science Center at San Antonio</v>
      </c>
      <c r="C235" s="180"/>
      <c r="D235" s="355">
        <f>'HSSA FGD'!$D$29</f>
        <v>11695162</v>
      </c>
      <c r="E235" s="355">
        <f>'HSSA FGD'!$E$29</f>
        <v>31912567</v>
      </c>
      <c r="F235" s="355">
        <f>'HSSA FGD'!$F$29</f>
        <v>0</v>
      </c>
      <c r="G235" s="355">
        <f>'HSSA FGD'!$G$29</f>
        <v>0</v>
      </c>
      <c r="H235" s="355">
        <f>'HSSA FGD'!$H$29</f>
        <v>0</v>
      </c>
      <c r="I235" s="355">
        <f>'HSSA FGD'!$I$29</f>
        <v>0</v>
      </c>
      <c r="J235" s="355">
        <f>'HSSA FGD'!$J$29</f>
        <v>0</v>
      </c>
      <c r="K235" s="355">
        <f>'HSSA FGD'!$K$29</f>
        <v>0</v>
      </c>
      <c r="L235" s="355">
        <f>'HSSA FGD'!$L$29</f>
        <v>0</v>
      </c>
      <c r="M235" s="543">
        <f>'HSSA FGD'!$M$29</f>
        <v>43607729</v>
      </c>
    </row>
    <row r="236" spans="1:13" s="50" customFormat="1" hidden="1" outlineLevel="1">
      <c r="A236" s="293"/>
      <c r="B236" s="392" t="str">
        <f>'MBG FGD'!$B$2</f>
        <v>The University of Texas Medical Branch at Galveston</v>
      </c>
      <c r="C236" s="180"/>
      <c r="D236" s="355">
        <f>'MBG FGD'!$D$29</f>
        <v>12225675</v>
      </c>
      <c r="E236" s="355">
        <f>'MBG FGD'!$E$29</f>
        <v>20864387</v>
      </c>
      <c r="F236" s="355">
        <f>'MBG FGD'!$F$29</f>
        <v>0</v>
      </c>
      <c r="G236" s="355">
        <f>'MBG FGD'!$G$29</f>
        <v>0</v>
      </c>
      <c r="H236" s="355">
        <f>'MBG FGD'!$H$29</f>
        <v>0</v>
      </c>
      <c r="I236" s="355">
        <f>'MBG FGD'!$I$29</f>
        <v>0</v>
      </c>
      <c r="J236" s="355">
        <f>'MBG FGD'!$J$29</f>
        <v>0</v>
      </c>
      <c r="K236" s="355">
        <f>'MBG FGD'!$K$29</f>
        <v>0</v>
      </c>
      <c r="L236" s="355">
        <f>'MBG FGD'!$L$29</f>
        <v>0</v>
      </c>
      <c r="M236" s="543">
        <f>'MBG FGD'!$M$29</f>
        <v>33090062</v>
      </c>
    </row>
    <row r="237" spans="1:13" s="50" customFormat="1" hidden="1" outlineLevel="1">
      <c r="A237" s="293"/>
      <c r="B237" s="392" t="str">
        <f>'MDA FGD'!$B$2</f>
        <v>The University of Texas M.D. Anderson Cancer Center</v>
      </c>
      <c r="C237" s="180"/>
      <c r="D237" s="355">
        <f>'MDA FGD'!$D$29</f>
        <v>577545</v>
      </c>
      <c r="E237" s="355">
        <f>'MDA FGD'!$E$29</f>
        <v>403791</v>
      </c>
      <c r="F237" s="355">
        <f>'MDA FGD'!$F$29</f>
        <v>0</v>
      </c>
      <c r="G237" s="355">
        <f>'MDA FGD'!$G$29</f>
        <v>0</v>
      </c>
      <c r="H237" s="355">
        <f>'MDA FGD'!$H$29</f>
        <v>0</v>
      </c>
      <c r="I237" s="355">
        <f>'MDA FGD'!$I$29</f>
        <v>0</v>
      </c>
      <c r="J237" s="355">
        <f>'MDA FGD'!$J$29</f>
        <v>0</v>
      </c>
      <c r="K237" s="355">
        <f>'MDA FGD'!$K$29</f>
        <v>0</v>
      </c>
      <c r="L237" s="355">
        <f>'MDA FGD'!$L$29</f>
        <v>0</v>
      </c>
      <c r="M237" s="543">
        <f>'MDA FGD'!$M$29</f>
        <v>981336</v>
      </c>
    </row>
    <row r="238" spans="1:13" s="50" customFormat="1" hidden="1" outlineLevel="1">
      <c r="A238" s="293"/>
      <c r="B238" s="392" t="str">
        <f>'RGVM FGD'!$B$2</f>
        <v>The University of Texas Rio Grande Valley Medical School (M)</v>
      </c>
      <c r="C238" s="180"/>
      <c r="D238" s="355">
        <f>'RGVM FGD'!$D$29</f>
        <v>683567</v>
      </c>
      <c r="E238" s="355">
        <f>'RGVM FGD'!$E$29</f>
        <v>1109303</v>
      </c>
      <c r="F238" s="355">
        <f>'RGVM FGD'!$F$29</f>
        <v>0</v>
      </c>
      <c r="G238" s="355">
        <f>'RGVM FGD'!$G$29</f>
        <v>0</v>
      </c>
      <c r="H238" s="355">
        <f>'RGVM FGD'!$H$29</f>
        <v>0</v>
      </c>
      <c r="I238" s="355">
        <f>'RGVM FGD'!$I$29</f>
        <v>0</v>
      </c>
      <c r="J238" s="355">
        <f>'RGVM FGD'!$J$29</f>
        <v>0</v>
      </c>
      <c r="K238" s="355">
        <f>'RGVM FGD'!$K$29</f>
        <v>0</v>
      </c>
      <c r="L238" s="355">
        <f>'RGVM FGD'!$L$29</f>
        <v>0</v>
      </c>
      <c r="M238" s="543">
        <f>'RGVM FGD'!$M$29</f>
        <v>1792870</v>
      </c>
    </row>
    <row r="239" spans="1:13" s="50" customFormat="1" hidden="1" outlineLevel="1">
      <c r="A239" s="293"/>
      <c r="B239" s="392" t="str">
        <f>'SWM FGD'!$B$2</f>
        <v>The University of Texas Southwestern Medical Center</v>
      </c>
      <c r="C239" s="180"/>
      <c r="D239" s="355">
        <f>'SWM FGD'!$D$29</f>
        <v>8050173</v>
      </c>
      <c r="E239" s="355">
        <f>'SWM FGD'!$E$29</f>
        <v>16528422</v>
      </c>
      <c r="F239" s="355">
        <f>'SWM FGD'!$F$29</f>
        <v>0</v>
      </c>
      <c r="G239" s="355">
        <f>'SWM FGD'!$G$29</f>
        <v>0</v>
      </c>
      <c r="H239" s="355">
        <f>'SWM FGD'!$H$29</f>
        <v>0</v>
      </c>
      <c r="I239" s="355">
        <f>'SWM FGD'!$I$29</f>
        <v>0</v>
      </c>
      <c r="J239" s="355">
        <f>'SWM FGD'!$J$29</f>
        <v>0</v>
      </c>
      <c r="K239" s="355">
        <f>'SWM FGD'!$K$29</f>
        <v>0</v>
      </c>
      <c r="L239" s="355">
        <f>'SWM FGD'!$L$29</f>
        <v>0</v>
      </c>
      <c r="M239" s="543">
        <f>'SWM FGD'!$M$29</f>
        <v>24578595</v>
      </c>
    </row>
    <row r="240" spans="1:13" s="50" customFormat="1" hidden="1" outlineLevel="1">
      <c r="A240" s="293"/>
      <c r="B240" s="392" t="str">
        <f>'TAMHSC FGD'!$B$2</f>
        <v>Texas A&amp;M University System Health Science Center</v>
      </c>
      <c r="C240" s="180"/>
      <c r="D240" s="355">
        <f>'TAMHSC FGD'!$D$29</f>
        <v>16604739</v>
      </c>
      <c r="E240" s="355">
        <f>'TAMHSC FGD'!$E$29</f>
        <v>8675582</v>
      </c>
      <c r="F240" s="355">
        <f>'TAMHSC FGD'!$F$29</f>
        <v>0</v>
      </c>
      <c r="G240" s="355">
        <f>'TAMHSC FGD'!$G$29</f>
        <v>0</v>
      </c>
      <c r="H240" s="355">
        <f>'TAMHSC FGD'!$H$29</f>
        <v>0</v>
      </c>
      <c r="I240" s="355">
        <f>'TAMHSC FGD'!$I$29</f>
        <v>0</v>
      </c>
      <c r="J240" s="355">
        <f>'TAMHSC FGD'!$J$29</f>
        <v>0</v>
      </c>
      <c r="K240" s="355">
        <f>'TAMHSC FGD'!$K$29</f>
        <v>0</v>
      </c>
      <c r="L240" s="355">
        <f>'TAMHSC FGD'!$L$29</f>
        <v>0</v>
      </c>
      <c r="M240" s="543">
        <f>'TAMHSC FGD'!$M$29</f>
        <v>25280321</v>
      </c>
    </row>
    <row r="241" spans="1:15" s="50" customFormat="1" hidden="1" outlineLevel="1">
      <c r="A241" s="293"/>
      <c r="B241" s="392" t="str">
        <f>'THC FGD'!$B$2</f>
        <v>The University of Texas Health Science Center at Tyler</v>
      </c>
      <c r="C241" s="180"/>
      <c r="D241" s="355">
        <f>'THC FGD'!$D$29</f>
        <v>66732</v>
      </c>
      <c r="E241" s="355">
        <f>'THC FGD'!$E$29</f>
        <v>87308</v>
      </c>
      <c r="F241" s="355">
        <f>'THC FGD'!$F$29</f>
        <v>0</v>
      </c>
      <c r="G241" s="355">
        <f>'THC FGD'!$G$29</f>
        <v>0</v>
      </c>
      <c r="H241" s="355">
        <f>'THC FGD'!$H$29</f>
        <v>0</v>
      </c>
      <c r="I241" s="355">
        <f>'THC FGD'!$I$29</f>
        <v>0</v>
      </c>
      <c r="J241" s="355">
        <f>'THC FGD'!$J$29</f>
        <v>0</v>
      </c>
      <c r="K241" s="355">
        <f>'THC FGD'!$K$29</f>
        <v>0</v>
      </c>
      <c r="L241" s="355">
        <f>'THC FGD'!$L$29</f>
        <v>0</v>
      </c>
      <c r="M241" s="543">
        <f>'THC FGD'!$M$29</f>
        <v>154040</v>
      </c>
    </row>
    <row r="242" spans="1:15" s="50" customFormat="1" hidden="1" outlineLevel="1">
      <c r="A242" s="293"/>
      <c r="B242" s="392" t="str">
        <f>'TTUHSC FGD'!$B$2</f>
        <v>Texas Tech University Health Sciences Center</v>
      </c>
      <c r="C242" s="180"/>
      <c r="D242" s="355">
        <f>'TTUHSC FGD'!$D$29</f>
        <v>15488933</v>
      </c>
      <c r="E242" s="355">
        <f>'TTUHSC FGD'!$E$29</f>
        <v>23291134</v>
      </c>
      <c r="F242" s="355">
        <f>'TTUHSC FGD'!$F$29</f>
        <v>0</v>
      </c>
      <c r="G242" s="355">
        <f>'TTUHSC FGD'!$G$29</f>
        <v>0</v>
      </c>
      <c r="H242" s="355">
        <f>'TTUHSC FGD'!$H$29</f>
        <v>0</v>
      </c>
      <c r="I242" s="355">
        <f>'TTUHSC FGD'!$I$29</f>
        <v>0</v>
      </c>
      <c r="J242" s="355">
        <f>'TTUHSC FGD'!$J$29</f>
        <v>0</v>
      </c>
      <c r="K242" s="355">
        <f>'TTUHSC FGD'!$K$29</f>
        <v>0</v>
      </c>
      <c r="L242" s="355">
        <f>'TTUHSC FGD'!$L$29</f>
        <v>0</v>
      </c>
      <c r="M242" s="543">
        <f>'TTUHSC FGD'!$M$29</f>
        <v>38780067</v>
      </c>
    </row>
    <row r="243" spans="1:15" s="50" customFormat="1" hidden="1" outlineLevel="1">
      <c r="A243" s="293"/>
      <c r="B243" s="392" t="str">
        <f>'TTUHSCEP FGD'!$B$2</f>
        <v>Texas Tech University Health Sciences Center at El Paso</v>
      </c>
      <c r="C243" s="180"/>
      <c r="D243" s="355">
        <f>'TTUHSCEP FGD'!$D$29</f>
        <v>2673648</v>
      </c>
      <c r="E243" s="355">
        <f>'TTUHSCEP FGD'!$E$29</f>
        <v>3900268</v>
      </c>
      <c r="F243" s="355">
        <f>'TTUHSCEP FGD'!$F$29</f>
        <v>0</v>
      </c>
      <c r="G243" s="355">
        <f>'TTUHSCEP FGD'!$G$29</f>
        <v>0</v>
      </c>
      <c r="H243" s="355">
        <f>'TTUHSCEP FGD'!$H$29</f>
        <v>0</v>
      </c>
      <c r="I243" s="355">
        <f>'TTUHSCEP FGD'!$I$29</f>
        <v>0</v>
      </c>
      <c r="J243" s="355">
        <f>'TTUHSCEP FGD'!$J$29</f>
        <v>0</v>
      </c>
      <c r="K243" s="355">
        <f>'TTUHSCEP FGD'!$K$29</f>
        <v>0</v>
      </c>
      <c r="L243" s="355">
        <f>'TTUHSCEP FGD'!$L$29</f>
        <v>0</v>
      </c>
      <c r="M243" s="543">
        <f>'TTUHSCEP FGD'!$M$29</f>
        <v>6573916</v>
      </c>
    </row>
    <row r="244" spans="1:15" s="50" customFormat="1" hidden="1" outlineLevel="1">
      <c r="A244" s="293"/>
      <c r="B244" s="392" t="str">
        <f>'UNTHSC FGD'!$B$2</f>
        <v>University of North Texas Health Science Center at Fort Worth</v>
      </c>
      <c r="C244" s="180"/>
      <c r="D244" s="355">
        <f>'UNTHSC FGD'!$D$29</f>
        <v>10514741</v>
      </c>
      <c r="E244" s="355">
        <f>'UNTHSC FGD'!$E$29</f>
        <v>11035465</v>
      </c>
      <c r="F244" s="355">
        <f>'UNTHSC FGD'!$F$29</f>
        <v>0</v>
      </c>
      <c r="G244" s="355">
        <f>'UNTHSC FGD'!$G$29</f>
        <v>0</v>
      </c>
      <c r="H244" s="355">
        <f>'UNTHSC FGD'!$H$29</f>
        <v>0</v>
      </c>
      <c r="I244" s="355">
        <f>'UNTHSC FGD'!$I$29</f>
        <v>0</v>
      </c>
      <c r="J244" s="355">
        <f>'UNTHSC FGD'!$J$29</f>
        <v>0</v>
      </c>
      <c r="K244" s="355">
        <f>'UNTHSC FGD'!$K$29</f>
        <v>0</v>
      </c>
      <c r="L244" s="355">
        <f>'UNTHSC FGD'!$L$29</f>
        <v>0</v>
      </c>
      <c r="M244" s="543">
        <f>'UNTHSC FGD'!$M$29</f>
        <v>21550206</v>
      </c>
    </row>
    <row r="245" spans="1:15" s="50" customFormat="1" ht="12" customHeight="1" collapsed="1">
      <c r="A245" s="293"/>
      <c r="B245" s="551" t="s">
        <v>37</v>
      </c>
      <c r="C245" s="179"/>
      <c r="D245" s="356">
        <f t="shared" ref="D245:M245" si="17">SUM(D233:D244)</f>
        <v>102781077</v>
      </c>
      <c r="E245" s="356">
        <f t="shared" si="17"/>
        <v>140821159</v>
      </c>
      <c r="F245" s="356">
        <f t="shared" si="17"/>
        <v>0</v>
      </c>
      <c r="G245" s="356">
        <f t="shared" si="17"/>
        <v>0</v>
      </c>
      <c r="H245" s="356">
        <f t="shared" si="17"/>
        <v>0</v>
      </c>
      <c r="I245" s="356">
        <f t="shared" si="17"/>
        <v>0</v>
      </c>
      <c r="J245" s="356">
        <f t="shared" si="17"/>
        <v>0</v>
      </c>
      <c r="K245" s="356">
        <f t="shared" si="17"/>
        <v>0</v>
      </c>
      <c r="L245" s="356">
        <f t="shared" si="17"/>
        <v>0</v>
      </c>
      <c r="M245" s="356">
        <f t="shared" si="17"/>
        <v>243602236</v>
      </c>
      <c r="O245" s="293" t="str">
        <f>IF(M245&lt;&gt;M1001,"Error","OK")</f>
        <v>OK</v>
      </c>
    </row>
    <row r="246" spans="1:15" s="50" customFormat="1" ht="16.5" customHeight="1">
      <c r="A246" s="293"/>
      <c r="B246" s="51"/>
      <c r="C246" s="180"/>
      <c r="D246" s="180"/>
      <c r="E246" s="180"/>
      <c r="F246" s="180"/>
      <c r="G246" s="180"/>
      <c r="H246" s="180"/>
      <c r="I246" s="180"/>
      <c r="J246" s="180"/>
      <c r="K246" s="180"/>
      <c r="L246" s="180"/>
      <c r="M246" s="543"/>
    </row>
    <row r="247" spans="1:15" s="50" customFormat="1" ht="16.5" hidden="1" customHeight="1" outlineLevel="1">
      <c r="A247" s="293"/>
      <c r="B247" s="392" t="str">
        <f>'AUSM FGD'!$B$2</f>
        <v>The University of Texas at Austin Medical School (M)</v>
      </c>
      <c r="C247" s="180"/>
      <c r="D247" s="181">
        <f>'AUSM FGD'!$D$31</f>
        <v>0</v>
      </c>
      <c r="E247" s="181">
        <f>'AUSM FGD'!$E$31</f>
        <v>574247</v>
      </c>
      <c r="F247" s="181">
        <f>'AUSM FGD'!$F$31</f>
        <v>0</v>
      </c>
      <c r="G247" s="181">
        <f>'AUSM FGD'!$G$31</f>
        <v>0</v>
      </c>
      <c r="H247" s="181">
        <f>'AUSM FGD'!$H$31</f>
        <v>0</v>
      </c>
      <c r="I247" s="181">
        <f>'AUSM FGD'!$I$31</f>
        <v>0</v>
      </c>
      <c r="J247" s="181">
        <f>'AUSM FGD'!$J$31</f>
        <v>0</v>
      </c>
      <c r="K247" s="181">
        <f>'AUSM FGD'!$K$31</f>
        <v>0</v>
      </c>
      <c r="L247" s="181">
        <f>'AUSM FGD'!$L$31</f>
        <v>0</v>
      </c>
      <c r="M247" s="543">
        <f>'AUSM FGD'!$M$31</f>
        <v>574247</v>
      </c>
    </row>
    <row r="248" spans="1:15" s="50" customFormat="1" ht="16.5" hidden="1" customHeight="1" outlineLevel="1">
      <c r="A248" s="293"/>
      <c r="B248" s="392" t="str">
        <f>'HSH FGD'!$B$2</f>
        <v>The University of Texas Health Science Center at Houston</v>
      </c>
      <c r="C248" s="180"/>
      <c r="D248" s="181">
        <f>'HSH FGD'!$D$31</f>
        <v>196506</v>
      </c>
      <c r="E248" s="181">
        <f>'HSH FGD'!$E$31</f>
        <v>9109184</v>
      </c>
      <c r="F248" s="181">
        <f>'HSH FGD'!$F$31</f>
        <v>2489037</v>
      </c>
      <c r="G248" s="181">
        <f>'HSH FGD'!$G$31</f>
        <v>0</v>
      </c>
      <c r="H248" s="181">
        <f>'HSH FGD'!$H$31</f>
        <v>0</v>
      </c>
      <c r="I248" s="181">
        <f>'HSH FGD'!$I$31</f>
        <v>0</v>
      </c>
      <c r="J248" s="181">
        <f>'HSH FGD'!$J$31</f>
        <v>0</v>
      </c>
      <c r="K248" s="181">
        <f>'HSH FGD'!$K$31</f>
        <v>0</v>
      </c>
      <c r="L248" s="181">
        <f>'HSH FGD'!$L$31</f>
        <v>0</v>
      </c>
      <c r="M248" s="543">
        <f>'HSH FGD'!$M$31</f>
        <v>11794727</v>
      </c>
    </row>
    <row r="249" spans="1:15" s="50" customFormat="1" ht="16.5" hidden="1" customHeight="1" outlineLevel="1">
      <c r="A249" s="293"/>
      <c r="B249" s="392" t="str">
        <f>'HSSA FGD'!$B$2</f>
        <v>The University of Texas Health Science Center at San Antonio</v>
      </c>
      <c r="C249" s="180"/>
      <c r="D249" s="181">
        <f>'HSSA FGD'!$D$31</f>
        <v>0</v>
      </c>
      <c r="E249" s="181">
        <f>'HSSA FGD'!$E$31</f>
        <v>0</v>
      </c>
      <c r="F249" s="181">
        <f>'HSSA FGD'!$F$31</f>
        <v>2815216</v>
      </c>
      <c r="G249" s="181">
        <f>'HSSA FGD'!$G$31</f>
        <v>0</v>
      </c>
      <c r="H249" s="181">
        <f>'HSSA FGD'!$H$31</f>
        <v>0</v>
      </c>
      <c r="I249" s="181">
        <f>'HSSA FGD'!$I$31</f>
        <v>0</v>
      </c>
      <c r="J249" s="181">
        <f>'HSSA FGD'!$J$31</f>
        <v>0</v>
      </c>
      <c r="K249" s="181">
        <f>'HSSA FGD'!$K$31</f>
        <v>0</v>
      </c>
      <c r="L249" s="181">
        <f>'HSSA FGD'!$L$31</f>
        <v>0</v>
      </c>
      <c r="M249" s="543">
        <f>'HSSA FGD'!$M$31</f>
        <v>2815216</v>
      </c>
    </row>
    <row r="250" spans="1:15" s="50" customFormat="1" ht="16.5" hidden="1" customHeight="1" outlineLevel="1">
      <c r="A250" s="293"/>
      <c r="B250" s="392" t="str">
        <f>'MBG FGD'!$B$2</f>
        <v>The University of Texas Medical Branch at Galveston</v>
      </c>
      <c r="C250" s="180"/>
      <c r="D250" s="181">
        <f>'MBG FGD'!$D$31</f>
        <v>477290</v>
      </c>
      <c r="E250" s="181">
        <f>'MBG FGD'!$E$31</f>
        <v>7521089</v>
      </c>
      <c r="F250" s="181">
        <f>'MBG FGD'!$F$31</f>
        <v>541517</v>
      </c>
      <c r="G250" s="181">
        <f>'MBG FGD'!$G$31</f>
        <v>0</v>
      </c>
      <c r="H250" s="181">
        <f>'MBG FGD'!$H$31</f>
        <v>0</v>
      </c>
      <c r="I250" s="181">
        <f>'MBG FGD'!$I$31</f>
        <v>0</v>
      </c>
      <c r="J250" s="181">
        <f>'MBG FGD'!$J$31</f>
        <v>0</v>
      </c>
      <c r="K250" s="181">
        <f>'MBG FGD'!$K$31</f>
        <v>0</v>
      </c>
      <c r="L250" s="181">
        <f>'MBG FGD'!$L$31</f>
        <v>0</v>
      </c>
      <c r="M250" s="543">
        <f>'MBG FGD'!$M$31</f>
        <v>8539896</v>
      </c>
    </row>
    <row r="251" spans="1:15" s="50" customFormat="1" ht="16.5" hidden="1" customHeight="1" outlineLevel="1">
      <c r="A251" s="293"/>
      <c r="B251" s="392" t="str">
        <f>'MDA FGD'!$B$2</f>
        <v>The University of Texas M.D. Anderson Cancer Center</v>
      </c>
      <c r="C251" s="180"/>
      <c r="D251" s="181">
        <f>'MDA FGD'!$D$31</f>
        <v>0</v>
      </c>
      <c r="E251" s="181">
        <f>'MDA FGD'!$E$31</f>
        <v>134722</v>
      </c>
      <c r="F251" s="181">
        <f>'MDA FGD'!$F$31</f>
        <v>0</v>
      </c>
      <c r="G251" s="181">
        <f>'MDA FGD'!$G$31</f>
        <v>0</v>
      </c>
      <c r="H251" s="181">
        <f>'MDA FGD'!$H$31</f>
        <v>0</v>
      </c>
      <c r="I251" s="181">
        <f>'MDA FGD'!$I$31</f>
        <v>0</v>
      </c>
      <c r="J251" s="181">
        <f>'MDA FGD'!$J$31</f>
        <v>0</v>
      </c>
      <c r="K251" s="181">
        <f>'MDA FGD'!$K$31</f>
        <v>0</v>
      </c>
      <c r="L251" s="181">
        <f>'MDA FGD'!$L$31</f>
        <v>0</v>
      </c>
      <c r="M251" s="543">
        <f>'MDA FGD'!$M$31</f>
        <v>134722</v>
      </c>
    </row>
    <row r="252" spans="1:15" s="50" customFormat="1" ht="16.5" hidden="1" customHeight="1" outlineLevel="1">
      <c r="A252" s="293"/>
      <c r="B252" s="392" t="str">
        <f>'RGVM FGD'!$B$2</f>
        <v>The University of Texas Rio Grande Valley Medical School (M)</v>
      </c>
      <c r="C252" s="180"/>
      <c r="D252" s="181">
        <f>'RGVM FGD'!$D$31</f>
        <v>6600</v>
      </c>
      <c r="E252" s="181">
        <f>'RGVM FGD'!$E$31</f>
        <v>347504</v>
      </c>
      <c r="F252" s="181">
        <f>'RGVM FGD'!$F$31</f>
        <v>99537</v>
      </c>
      <c r="G252" s="181">
        <f>'RGVM FGD'!$G$31</f>
        <v>0</v>
      </c>
      <c r="H252" s="181">
        <f>'RGVM FGD'!$H$31</f>
        <v>0</v>
      </c>
      <c r="I252" s="181">
        <f>'RGVM FGD'!$I$31</f>
        <v>0</v>
      </c>
      <c r="J252" s="181">
        <f>'RGVM FGD'!$J$31</f>
        <v>0</v>
      </c>
      <c r="K252" s="181">
        <f>'RGVM FGD'!$K$31</f>
        <v>0</v>
      </c>
      <c r="L252" s="181">
        <f>'RGVM FGD'!$L$31</f>
        <v>0</v>
      </c>
      <c r="M252" s="543">
        <f>'RGVM FGD'!$M$31</f>
        <v>453641</v>
      </c>
    </row>
    <row r="253" spans="1:15" s="50" customFormat="1" ht="16.5" hidden="1" customHeight="1" outlineLevel="1">
      <c r="A253" s="293"/>
      <c r="B253" s="392" t="str">
        <f>'SWM FGD'!$B$2</f>
        <v>The University of Texas Southwestern Medical Center</v>
      </c>
      <c r="C253" s="180"/>
      <c r="D253" s="181">
        <f>'SWM FGD'!$D$31</f>
        <v>49858</v>
      </c>
      <c r="E253" s="181">
        <f>'SWM FGD'!$E$31</f>
        <v>919110</v>
      </c>
      <c r="F253" s="181">
        <f>'SWM FGD'!$F$31</f>
        <v>1665439</v>
      </c>
      <c r="G253" s="181">
        <f>'SWM FGD'!$G$31</f>
        <v>0</v>
      </c>
      <c r="H253" s="181">
        <f>'SWM FGD'!$H$31</f>
        <v>0</v>
      </c>
      <c r="I253" s="181">
        <f>'SWM FGD'!$I$31</f>
        <v>0</v>
      </c>
      <c r="J253" s="181">
        <f>'SWM FGD'!$J$31</f>
        <v>0</v>
      </c>
      <c r="K253" s="181">
        <f>'SWM FGD'!$K$31</f>
        <v>0</v>
      </c>
      <c r="L253" s="181">
        <f>'SWM FGD'!$L$31</f>
        <v>0</v>
      </c>
      <c r="M253" s="543">
        <f>'SWM FGD'!$M$31</f>
        <v>2634407</v>
      </c>
    </row>
    <row r="254" spans="1:15" s="50" customFormat="1" ht="16.5" hidden="1" customHeight="1" outlineLevel="1">
      <c r="A254" s="293"/>
      <c r="B254" s="392" t="str">
        <f>'TAMHSC FGD'!$B$2</f>
        <v>Texas A&amp;M University System Health Science Center</v>
      </c>
      <c r="C254" s="180"/>
      <c r="D254" s="181">
        <f>'TAMHSC FGD'!$D$31</f>
        <v>67581</v>
      </c>
      <c r="E254" s="181">
        <f>'TAMHSC FGD'!$E$31</f>
        <v>12856685</v>
      </c>
      <c r="F254" s="181">
        <f>'TAMHSC FGD'!$F$31</f>
        <v>1214818</v>
      </c>
      <c r="G254" s="181">
        <f>'TAMHSC FGD'!$G$31</f>
        <v>0</v>
      </c>
      <c r="H254" s="181">
        <f>'TAMHSC FGD'!$H$31</f>
        <v>0</v>
      </c>
      <c r="I254" s="181">
        <f>'TAMHSC FGD'!$I$31</f>
        <v>0</v>
      </c>
      <c r="J254" s="181">
        <f>'TAMHSC FGD'!$J$31</f>
        <v>0</v>
      </c>
      <c r="K254" s="181">
        <f>'TAMHSC FGD'!$K$31</f>
        <v>0</v>
      </c>
      <c r="L254" s="181">
        <f>'TAMHSC FGD'!$L$31</f>
        <v>0</v>
      </c>
      <c r="M254" s="543">
        <f>'TAMHSC FGD'!$M$31</f>
        <v>14139084</v>
      </c>
    </row>
    <row r="255" spans="1:15" s="50" customFormat="1" ht="16.5" hidden="1" customHeight="1" outlineLevel="1">
      <c r="A255" s="293"/>
      <c r="B255" s="392" t="str">
        <f>'THC FGD'!$B$2</f>
        <v>The University of Texas Health Science Center at Tyler</v>
      </c>
      <c r="C255" s="180"/>
      <c r="D255" s="181">
        <f>'THC FGD'!$D$31</f>
        <v>990</v>
      </c>
      <c r="E255" s="181">
        <f>'THC FGD'!$E$31</f>
        <v>27937</v>
      </c>
      <c r="F255" s="181">
        <f>'THC FGD'!$F$31</f>
        <v>0</v>
      </c>
      <c r="G255" s="181">
        <f>'THC FGD'!$G$31</f>
        <v>0</v>
      </c>
      <c r="H255" s="181">
        <f>'THC FGD'!$H$31</f>
        <v>0</v>
      </c>
      <c r="I255" s="181">
        <f>'THC FGD'!$I$31</f>
        <v>0</v>
      </c>
      <c r="J255" s="181">
        <f>'THC FGD'!$J$31</f>
        <v>0</v>
      </c>
      <c r="K255" s="181">
        <f>'THC FGD'!$K$31</f>
        <v>0</v>
      </c>
      <c r="L255" s="181">
        <f>'THC FGD'!$L$31</f>
        <v>0</v>
      </c>
      <c r="M255" s="543">
        <f>'THC FGD'!$M$31</f>
        <v>28927</v>
      </c>
    </row>
    <row r="256" spans="1:15" s="50" customFormat="1" ht="16.5" hidden="1" customHeight="1" outlineLevel="1">
      <c r="A256" s="293"/>
      <c r="B256" s="392" t="str">
        <f>'TTUHSC FGD'!$B$2</f>
        <v>Texas Tech University Health Sciences Center</v>
      </c>
      <c r="C256" s="180"/>
      <c r="D256" s="181">
        <f>'TTUHSC FGD'!$D$31</f>
        <v>0</v>
      </c>
      <c r="E256" s="181">
        <f>'TTUHSC FGD'!$E$31</f>
        <v>14189019</v>
      </c>
      <c r="F256" s="181">
        <f>'TTUHSC FGD'!$F$31</f>
        <v>0</v>
      </c>
      <c r="G256" s="181">
        <f>'TTUHSC FGD'!$G$31</f>
        <v>0</v>
      </c>
      <c r="H256" s="181">
        <f>'TTUHSC FGD'!$H$31</f>
        <v>0</v>
      </c>
      <c r="I256" s="181">
        <f>'TTUHSC FGD'!$I$31</f>
        <v>0</v>
      </c>
      <c r="J256" s="181">
        <f>'TTUHSC FGD'!$J$31</f>
        <v>0</v>
      </c>
      <c r="K256" s="181">
        <f>'TTUHSC FGD'!$K$31</f>
        <v>0</v>
      </c>
      <c r="L256" s="181">
        <f>'TTUHSC FGD'!$L$31</f>
        <v>0</v>
      </c>
      <c r="M256" s="543">
        <f>'TTUHSC FGD'!$M$31</f>
        <v>14189019</v>
      </c>
    </row>
    <row r="257" spans="1:13" s="50" customFormat="1" ht="16.5" hidden="1" customHeight="1" outlineLevel="1">
      <c r="A257" s="293"/>
      <c r="B257" s="392" t="str">
        <f>'TTUHSCEP FGD'!$B$2</f>
        <v>Texas Tech University Health Sciences Center at El Paso</v>
      </c>
      <c r="C257" s="180"/>
      <c r="D257" s="181">
        <f>'TTUHSCEP FGD'!$D$31</f>
        <v>0</v>
      </c>
      <c r="E257" s="181">
        <f>'TTUHSCEP FGD'!$E$31</f>
        <v>2611631</v>
      </c>
      <c r="F257" s="181">
        <f>'TTUHSCEP FGD'!$F$31</f>
        <v>0</v>
      </c>
      <c r="G257" s="181">
        <f>'TTUHSCEP FGD'!$G$31</f>
        <v>0</v>
      </c>
      <c r="H257" s="181">
        <f>'TTUHSCEP FGD'!$H$31</f>
        <v>0</v>
      </c>
      <c r="I257" s="181">
        <f>'TTUHSCEP FGD'!$I$31</f>
        <v>0</v>
      </c>
      <c r="J257" s="181">
        <f>'TTUHSCEP FGD'!$J$31</f>
        <v>0</v>
      </c>
      <c r="K257" s="181">
        <f>'TTUHSCEP FGD'!$K$31</f>
        <v>0</v>
      </c>
      <c r="L257" s="181">
        <f>'TTUHSCEP FGD'!$L$31</f>
        <v>0</v>
      </c>
      <c r="M257" s="543">
        <f>'TTUHSCEP FGD'!$M$31</f>
        <v>2611631</v>
      </c>
    </row>
    <row r="258" spans="1:13" s="50" customFormat="1" ht="16.5" hidden="1" customHeight="1" outlineLevel="1">
      <c r="A258" s="293"/>
      <c r="B258" s="392" t="str">
        <f>'UNTHSC FGD'!$B$2</f>
        <v>University of North Texas Health Science Center at Fort Worth</v>
      </c>
      <c r="C258" s="180"/>
      <c r="D258" s="181">
        <f>'UNTHSC FGD'!$D$31</f>
        <v>24382</v>
      </c>
      <c r="E258" s="181">
        <f>'UNTHSC FGD'!$E$31</f>
        <v>8659573</v>
      </c>
      <c r="F258" s="181">
        <f>'UNTHSC FGD'!$F$31</f>
        <v>0</v>
      </c>
      <c r="G258" s="181">
        <f>'UNTHSC FGD'!$G$31</f>
        <v>0</v>
      </c>
      <c r="H258" s="181">
        <f>'UNTHSC FGD'!$H$31</f>
        <v>0</v>
      </c>
      <c r="I258" s="181">
        <f>'UNTHSC FGD'!$I$31</f>
        <v>0</v>
      </c>
      <c r="J258" s="181">
        <f>'UNTHSC FGD'!$J$31</f>
        <v>0</v>
      </c>
      <c r="K258" s="181">
        <f>'UNTHSC FGD'!$K$31</f>
        <v>0</v>
      </c>
      <c r="L258" s="181">
        <f>'UNTHSC FGD'!$L$31</f>
        <v>0</v>
      </c>
      <c r="M258" s="543">
        <f>'UNTHSC FGD'!$M$31</f>
        <v>8683955</v>
      </c>
    </row>
    <row r="259" spans="1:13" s="50" customFormat="1" ht="12.75" customHeight="1" collapsed="1">
      <c r="A259" s="293"/>
      <c r="B259" s="536" t="s">
        <v>1005</v>
      </c>
      <c r="C259" s="536"/>
      <c r="D259" s="356">
        <f t="shared" ref="D259:M259" si="18">SUM(D247:D258)</f>
        <v>823207</v>
      </c>
      <c r="E259" s="356">
        <f t="shared" si="18"/>
        <v>56950701</v>
      </c>
      <c r="F259" s="356">
        <f t="shared" si="18"/>
        <v>8825564</v>
      </c>
      <c r="G259" s="356">
        <f t="shared" si="18"/>
        <v>0</v>
      </c>
      <c r="H259" s="356">
        <f t="shared" si="18"/>
        <v>0</v>
      </c>
      <c r="I259" s="356">
        <f t="shared" si="18"/>
        <v>0</v>
      </c>
      <c r="J259" s="356">
        <f t="shared" si="18"/>
        <v>0</v>
      </c>
      <c r="K259" s="356">
        <f t="shared" si="18"/>
        <v>0</v>
      </c>
      <c r="L259" s="356">
        <f t="shared" si="18"/>
        <v>0</v>
      </c>
      <c r="M259" s="356">
        <f t="shared" si="18"/>
        <v>66599472</v>
      </c>
    </row>
    <row r="260" spans="1:13" s="50" customFormat="1" ht="12.75" hidden="1" customHeight="1" outlineLevel="1">
      <c r="A260" s="293"/>
      <c r="B260" s="392" t="str">
        <f>'AUSM FGD'!$B$2</f>
        <v>The University of Texas at Austin Medical School (M)</v>
      </c>
      <c r="C260" s="221"/>
      <c r="D260" s="346">
        <f>'AUSM FGD'!$D$32</f>
        <v>0</v>
      </c>
      <c r="E260" s="346">
        <f>'AUSM FGD'!$E$32</f>
        <v>0</v>
      </c>
      <c r="F260" s="346">
        <f>'AUSM FGD'!$F$32</f>
        <v>0</v>
      </c>
      <c r="G260" s="346">
        <f>'AUSM FGD'!$G$32</f>
        <v>0</v>
      </c>
      <c r="H260" s="346">
        <f>'AUSM FGD'!$H$32</f>
        <v>0</v>
      </c>
      <c r="I260" s="346">
        <f>'AUSM FGD'!$I$32</f>
        <v>0</v>
      </c>
      <c r="J260" s="346">
        <f>'AUSM FGD'!$J$32</f>
        <v>0</v>
      </c>
      <c r="K260" s="346">
        <f>'AUSM FGD'!$K$32</f>
        <v>0</v>
      </c>
      <c r="L260" s="346">
        <f>'AUSM FGD'!$L$32</f>
        <v>0</v>
      </c>
      <c r="M260" s="346">
        <f>'AUSM FGD'!$M$32</f>
        <v>0</v>
      </c>
    </row>
    <row r="261" spans="1:13" s="50" customFormat="1" ht="12.75" hidden="1" customHeight="1" outlineLevel="1">
      <c r="A261" s="293"/>
      <c r="B261" s="392" t="str">
        <f>'HSH FGD'!$B$2</f>
        <v>The University of Texas Health Science Center at Houston</v>
      </c>
      <c r="C261" s="221"/>
      <c r="D261" s="346">
        <f>'HSH FGD'!$D$32</f>
        <v>0</v>
      </c>
      <c r="E261" s="346">
        <f>'HSH FGD'!$E$32</f>
        <v>0</v>
      </c>
      <c r="F261" s="346">
        <f>'HSH FGD'!$F$32</f>
        <v>0</v>
      </c>
      <c r="G261" s="346">
        <f>'HSH FGD'!$G$32</f>
        <v>0</v>
      </c>
      <c r="H261" s="346">
        <f>'HSH FGD'!$H$32</f>
        <v>0</v>
      </c>
      <c r="I261" s="346">
        <f>'HSH FGD'!$I$32</f>
        <v>0</v>
      </c>
      <c r="J261" s="346">
        <f>'HSH FGD'!$J$32</f>
        <v>0</v>
      </c>
      <c r="K261" s="346">
        <f>'HSH FGD'!$K$32</f>
        <v>0</v>
      </c>
      <c r="L261" s="346">
        <f>'HSH FGD'!$L$32</f>
        <v>0</v>
      </c>
      <c r="M261" s="346">
        <f>'HSH FGD'!$M$32</f>
        <v>0</v>
      </c>
    </row>
    <row r="262" spans="1:13" s="50" customFormat="1" ht="12.75" hidden="1" customHeight="1" outlineLevel="1">
      <c r="A262" s="293"/>
      <c r="B262" s="392" t="str">
        <f>'HSSA FGD'!$B$2</f>
        <v>The University of Texas Health Science Center at San Antonio</v>
      </c>
      <c r="C262" s="221"/>
      <c r="D262" s="346">
        <f>'HSSA FGD'!$D$32</f>
        <v>0</v>
      </c>
      <c r="E262" s="346">
        <f>'HSSA FGD'!$E$32</f>
        <v>0</v>
      </c>
      <c r="F262" s="346">
        <f>'HSSA FGD'!$F$32</f>
        <v>0</v>
      </c>
      <c r="G262" s="346">
        <f>'HSSA FGD'!$G$32</f>
        <v>0</v>
      </c>
      <c r="H262" s="346">
        <f>'HSSA FGD'!$H$32</f>
        <v>0</v>
      </c>
      <c r="I262" s="346">
        <f>'HSSA FGD'!$I$32</f>
        <v>0</v>
      </c>
      <c r="J262" s="346">
        <f>'HSSA FGD'!$J$32</f>
        <v>0</v>
      </c>
      <c r="K262" s="346">
        <f>'HSSA FGD'!$K$32</f>
        <v>0</v>
      </c>
      <c r="L262" s="346">
        <f>'HSSA FGD'!$L$32</f>
        <v>0</v>
      </c>
      <c r="M262" s="346">
        <f>'HSSA FGD'!$M$32</f>
        <v>0</v>
      </c>
    </row>
    <row r="263" spans="1:13" s="50" customFormat="1" ht="12.75" hidden="1" customHeight="1" outlineLevel="1">
      <c r="A263" s="293"/>
      <c r="B263" s="392" t="str">
        <f>'MBG FGD'!$B$2</f>
        <v>The University of Texas Medical Branch at Galveston</v>
      </c>
      <c r="C263" s="221"/>
      <c r="D263" s="346">
        <f>'MBG FGD'!$D$32</f>
        <v>0</v>
      </c>
      <c r="E263" s="346">
        <f>'MBG FGD'!$E$32</f>
        <v>0</v>
      </c>
      <c r="F263" s="346">
        <f>'MBG FGD'!$F$32</f>
        <v>0</v>
      </c>
      <c r="G263" s="346">
        <f>'MBG FGD'!$G$32</f>
        <v>0</v>
      </c>
      <c r="H263" s="346">
        <f>'MBG FGD'!$H$32</f>
        <v>0</v>
      </c>
      <c r="I263" s="346">
        <f>'MBG FGD'!$I$32</f>
        <v>0</v>
      </c>
      <c r="J263" s="346">
        <f>'MBG FGD'!$J$32</f>
        <v>0</v>
      </c>
      <c r="K263" s="346">
        <f>'MBG FGD'!$K$32</f>
        <v>0</v>
      </c>
      <c r="L263" s="346">
        <f>'MBG FGD'!$L$32</f>
        <v>0</v>
      </c>
      <c r="M263" s="346">
        <f>'MBG FGD'!$M$32</f>
        <v>0</v>
      </c>
    </row>
    <row r="264" spans="1:13" s="50" customFormat="1" ht="12.75" hidden="1" customHeight="1" outlineLevel="1">
      <c r="A264" s="293"/>
      <c r="B264" s="392" t="str">
        <f>'MDA FGD'!$B$2</f>
        <v>The University of Texas M.D. Anderson Cancer Center</v>
      </c>
      <c r="C264" s="221"/>
      <c r="D264" s="346">
        <f>'MDA FGD'!$D$32</f>
        <v>0</v>
      </c>
      <c r="E264" s="346">
        <f>'MDA FGD'!$E$32</f>
        <v>0</v>
      </c>
      <c r="F264" s="346">
        <f>'MDA FGD'!$F$32</f>
        <v>0</v>
      </c>
      <c r="G264" s="346">
        <f>'MDA FGD'!$G$32</f>
        <v>0</v>
      </c>
      <c r="H264" s="346">
        <f>'MDA FGD'!$H$32</f>
        <v>0</v>
      </c>
      <c r="I264" s="346">
        <f>'MDA FGD'!$I$32</f>
        <v>0</v>
      </c>
      <c r="J264" s="346">
        <f>'MDA FGD'!$J$32</f>
        <v>0</v>
      </c>
      <c r="K264" s="346">
        <f>'MDA FGD'!$K$32</f>
        <v>0</v>
      </c>
      <c r="L264" s="346">
        <f>'MDA FGD'!$L$32</f>
        <v>0</v>
      </c>
      <c r="M264" s="346">
        <f>'MDA FGD'!$M$32</f>
        <v>0</v>
      </c>
    </row>
    <row r="265" spans="1:13" s="50" customFormat="1" ht="12.75" hidden="1" customHeight="1" outlineLevel="1">
      <c r="A265" s="293"/>
      <c r="B265" s="392" t="str">
        <f>'RGVM FGD'!$B$2</f>
        <v>The University of Texas Rio Grande Valley Medical School (M)</v>
      </c>
      <c r="C265" s="221"/>
      <c r="D265" s="346">
        <f>'RGVM FGD'!$D$32</f>
        <v>0</v>
      </c>
      <c r="E265" s="346">
        <f>'RGVM FGD'!$E$32</f>
        <v>0</v>
      </c>
      <c r="F265" s="346">
        <f>'RGVM FGD'!$F$32</f>
        <v>0</v>
      </c>
      <c r="G265" s="346">
        <f>'RGVM FGD'!$G$32</f>
        <v>0</v>
      </c>
      <c r="H265" s="346">
        <f>'RGVM FGD'!$H$32</f>
        <v>0</v>
      </c>
      <c r="I265" s="346">
        <f>'RGVM FGD'!$I$32</f>
        <v>0</v>
      </c>
      <c r="J265" s="346">
        <f>'RGVM FGD'!$J$32</f>
        <v>0</v>
      </c>
      <c r="K265" s="346">
        <f>'RGVM FGD'!$K$32</f>
        <v>0</v>
      </c>
      <c r="L265" s="346">
        <f>'RGVM FGD'!$L$32</f>
        <v>0</v>
      </c>
      <c r="M265" s="346">
        <f>'RGVM FGD'!$M$32</f>
        <v>0</v>
      </c>
    </row>
    <row r="266" spans="1:13" s="50" customFormat="1" ht="12.75" hidden="1" customHeight="1" outlineLevel="1">
      <c r="A266" s="293"/>
      <c r="B266" s="392" t="str">
        <f>'SWM FGD'!$B$2</f>
        <v>The University of Texas Southwestern Medical Center</v>
      </c>
      <c r="C266" s="221"/>
      <c r="D266" s="346">
        <f>'SWM FGD'!$D$32</f>
        <v>0</v>
      </c>
      <c r="E266" s="346">
        <f>'SWM FGD'!$E$32</f>
        <v>0</v>
      </c>
      <c r="F266" s="346">
        <f>'SWM FGD'!$F$32</f>
        <v>0</v>
      </c>
      <c r="G266" s="346">
        <f>'SWM FGD'!$G$32</f>
        <v>0</v>
      </c>
      <c r="H266" s="346">
        <f>'SWM FGD'!$H$32</f>
        <v>0</v>
      </c>
      <c r="I266" s="346">
        <f>'SWM FGD'!$I$32</f>
        <v>0</v>
      </c>
      <c r="J266" s="346">
        <f>'SWM FGD'!$J$32</f>
        <v>0</v>
      </c>
      <c r="K266" s="346">
        <f>'SWM FGD'!$K$32</f>
        <v>0</v>
      </c>
      <c r="L266" s="346">
        <f>'SWM FGD'!$L$32</f>
        <v>0</v>
      </c>
      <c r="M266" s="346">
        <f>'SWM FGD'!$M$32</f>
        <v>0</v>
      </c>
    </row>
    <row r="267" spans="1:13" s="50" customFormat="1" ht="12.75" hidden="1" customHeight="1" outlineLevel="1">
      <c r="A267" s="293"/>
      <c r="B267" s="392" t="str">
        <f>'TAMHSC FGD'!$B$2</f>
        <v>Texas A&amp;M University System Health Science Center</v>
      </c>
      <c r="C267" s="221"/>
      <c r="D267" s="346">
        <f>'TAMHSC FGD'!$D$32</f>
        <v>0</v>
      </c>
      <c r="E267" s="346">
        <f>'TAMHSC FGD'!$E$32</f>
        <v>0</v>
      </c>
      <c r="F267" s="346">
        <f>'TAMHSC FGD'!$F$32</f>
        <v>0</v>
      </c>
      <c r="G267" s="346">
        <f>'TAMHSC FGD'!$G$32</f>
        <v>0</v>
      </c>
      <c r="H267" s="346">
        <f>'TAMHSC FGD'!$H$32</f>
        <v>0</v>
      </c>
      <c r="I267" s="346">
        <f>'TAMHSC FGD'!$I$32</f>
        <v>0</v>
      </c>
      <c r="J267" s="346">
        <f>'TAMHSC FGD'!$J$32</f>
        <v>0</v>
      </c>
      <c r="K267" s="346">
        <f>'TAMHSC FGD'!$K$32</f>
        <v>0</v>
      </c>
      <c r="L267" s="346">
        <f>'TAMHSC FGD'!$L$32</f>
        <v>0</v>
      </c>
      <c r="M267" s="346">
        <f>'TAMHSC FGD'!$M$32</f>
        <v>0</v>
      </c>
    </row>
    <row r="268" spans="1:13" s="50" customFormat="1" ht="12.75" hidden="1" customHeight="1" outlineLevel="1">
      <c r="A268" s="293"/>
      <c r="B268" s="392" t="str">
        <f>'THC FGD'!$B$2</f>
        <v>The University of Texas Health Science Center at Tyler</v>
      </c>
      <c r="C268" s="221"/>
      <c r="D268" s="346">
        <f>'THC FGD'!$D$32</f>
        <v>0</v>
      </c>
      <c r="E268" s="346">
        <f>'THC FGD'!$E$32</f>
        <v>0</v>
      </c>
      <c r="F268" s="346">
        <f>'THC FGD'!$F$32</f>
        <v>0</v>
      </c>
      <c r="G268" s="346">
        <f>'THC FGD'!$G$32</f>
        <v>0</v>
      </c>
      <c r="H268" s="346">
        <f>'THC FGD'!$H$32</f>
        <v>0</v>
      </c>
      <c r="I268" s="346">
        <f>'THC FGD'!$I$32</f>
        <v>0</v>
      </c>
      <c r="J268" s="346">
        <f>'THC FGD'!$J$32</f>
        <v>0</v>
      </c>
      <c r="K268" s="346">
        <f>'THC FGD'!$K$32</f>
        <v>0</v>
      </c>
      <c r="L268" s="346">
        <f>'THC FGD'!$L$32</f>
        <v>0</v>
      </c>
      <c r="M268" s="346">
        <f>'THC FGD'!$M$32</f>
        <v>0</v>
      </c>
    </row>
    <row r="269" spans="1:13" s="50" customFormat="1" ht="12.75" hidden="1" customHeight="1" outlineLevel="1">
      <c r="A269" s="293"/>
      <c r="B269" s="392" t="str">
        <f>'TTUHSC FGD'!$B$2</f>
        <v>Texas Tech University Health Sciences Center</v>
      </c>
      <c r="C269" s="221"/>
      <c r="D269" s="346">
        <f>'TTUHSC FGD'!$D$32</f>
        <v>0</v>
      </c>
      <c r="E269" s="346">
        <f>'TTUHSC FGD'!$E$32</f>
        <v>0</v>
      </c>
      <c r="F269" s="346">
        <f>'TTUHSC FGD'!$F$32</f>
        <v>0</v>
      </c>
      <c r="G269" s="346">
        <f>'TTUHSC FGD'!$G$32</f>
        <v>0</v>
      </c>
      <c r="H269" s="346">
        <f>'TTUHSC FGD'!$H$32</f>
        <v>0</v>
      </c>
      <c r="I269" s="346">
        <f>'TTUHSC FGD'!$I$32</f>
        <v>0</v>
      </c>
      <c r="J269" s="346">
        <f>'TTUHSC FGD'!$J$32</f>
        <v>0</v>
      </c>
      <c r="K269" s="346">
        <f>'TTUHSC FGD'!$K$32</f>
        <v>0</v>
      </c>
      <c r="L269" s="346">
        <f>'TTUHSC FGD'!$L$32</f>
        <v>0</v>
      </c>
      <c r="M269" s="346">
        <f>'TTUHSC FGD'!$M$32</f>
        <v>0</v>
      </c>
    </row>
    <row r="270" spans="1:13" s="50" customFormat="1" ht="12.75" hidden="1" customHeight="1" outlineLevel="1">
      <c r="A270" s="293"/>
      <c r="B270" s="392" t="str">
        <f>'TTUHSCEP FGD'!$B$2</f>
        <v>Texas Tech University Health Sciences Center at El Paso</v>
      </c>
      <c r="C270" s="221"/>
      <c r="D270" s="346">
        <f>'TTUHSCEP FGD'!$D$32</f>
        <v>0</v>
      </c>
      <c r="E270" s="346">
        <f>'TTUHSCEP FGD'!$E$32</f>
        <v>0</v>
      </c>
      <c r="F270" s="346">
        <f>'TTUHSCEP FGD'!$F$32</f>
        <v>0</v>
      </c>
      <c r="G270" s="346">
        <f>'TTUHSCEP FGD'!$G$32</f>
        <v>0</v>
      </c>
      <c r="H270" s="346">
        <f>'TTUHSCEP FGD'!$H$32</f>
        <v>0</v>
      </c>
      <c r="I270" s="346">
        <f>'TTUHSCEP FGD'!$I$32</f>
        <v>0</v>
      </c>
      <c r="J270" s="346">
        <f>'TTUHSCEP FGD'!$J$32</f>
        <v>0</v>
      </c>
      <c r="K270" s="346">
        <f>'TTUHSCEP FGD'!$K$32</f>
        <v>0</v>
      </c>
      <c r="L270" s="346">
        <f>'TTUHSCEP FGD'!$L$32</f>
        <v>0</v>
      </c>
      <c r="M270" s="346">
        <f>'TTUHSCEP FGD'!$M$32</f>
        <v>0</v>
      </c>
    </row>
    <row r="271" spans="1:13" s="50" customFormat="1" ht="12.75" hidden="1" customHeight="1" outlineLevel="1">
      <c r="A271" s="293"/>
      <c r="B271" s="392" t="str">
        <f>'UNTHSC FGD'!$B$2</f>
        <v>University of North Texas Health Science Center at Fort Worth</v>
      </c>
      <c r="C271" s="221"/>
      <c r="D271" s="346">
        <f>'UNTHSC FGD'!$D$32</f>
        <v>0</v>
      </c>
      <c r="E271" s="346">
        <f>'UNTHSC FGD'!$E$32</f>
        <v>0</v>
      </c>
      <c r="F271" s="346">
        <f>'UNTHSC FGD'!$F$32</f>
        <v>0</v>
      </c>
      <c r="G271" s="346">
        <f>'UNTHSC FGD'!$G$32</f>
        <v>0</v>
      </c>
      <c r="H271" s="346">
        <f>'UNTHSC FGD'!$H$32</f>
        <v>0</v>
      </c>
      <c r="I271" s="346">
        <f>'UNTHSC FGD'!$I$32</f>
        <v>0</v>
      </c>
      <c r="J271" s="346">
        <f>'UNTHSC FGD'!$J$32</f>
        <v>0</v>
      </c>
      <c r="K271" s="346">
        <f>'UNTHSC FGD'!$K$32</f>
        <v>0</v>
      </c>
      <c r="L271" s="346">
        <f>'UNTHSC FGD'!$L$32</f>
        <v>0</v>
      </c>
      <c r="M271" s="346">
        <f>'UNTHSC FGD'!$M$32</f>
        <v>0</v>
      </c>
    </row>
    <row r="272" spans="1:13" s="50" customFormat="1" ht="12.75" customHeight="1" collapsed="1">
      <c r="A272" s="293"/>
      <c r="B272" s="51" t="s">
        <v>638</v>
      </c>
      <c r="C272" s="51"/>
      <c r="D272" s="355">
        <f t="shared" ref="D272:M272" si="19">SUM(D260:D271)</f>
        <v>0</v>
      </c>
      <c r="E272" s="355">
        <f t="shared" si="19"/>
        <v>0</v>
      </c>
      <c r="F272" s="355">
        <f t="shared" si="19"/>
        <v>0</v>
      </c>
      <c r="G272" s="355">
        <f t="shared" si="19"/>
        <v>0</v>
      </c>
      <c r="H272" s="355">
        <f t="shared" si="19"/>
        <v>0</v>
      </c>
      <c r="I272" s="355">
        <f t="shared" si="19"/>
        <v>0</v>
      </c>
      <c r="J272" s="355">
        <f t="shared" si="19"/>
        <v>0</v>
      </c>
      <c r="K272" s="355">
        <f t="shared" si="19"/>
        <v>0</v>
      </c>
      <c r="L272" s="355">
        <f t="shared" si="19"/>
        <v>0</v>
      </c>
      <c r="M272" s="543">
        <f t="shared" si="19"/>
        <v>0</v>
      </c>
    </row>
    <row r="273" spans="1:13" s="50" customFormat="1" ht="12.75" hidden="1" customHeight="1" outlineLevel="1">
      <c r="A273" s="293"/>
      <c r="B273" s="392" t="str">
        <f>'AUSM FGD'!$B$2</f>
        <v>The University of Texas at Austin Medical School (M)</v>
      </c>
      <c r="C273" s="51"/>
      <c r="D273" s="355">
        <f>'AUSM FGD'!$D$33</f>
        <v>0</v>
      </c>
      <c r="E273" s="355">
        <f>'AUSM FGD'!$E$33</f>
        <v>0</v>
      </c>
      <c r="F273" s="355">
        <f>'AUSM FGD'!$F$33</f>
        <v>0</v>
      </c>
      <c r="G273" s="355">
        <f>'AUSM FGD'!$G$33</f>
        <v>0</v>
      </c>
      <c r="H273" s="355">
        <f>'AUSM FGD'!$H$33</f>
        <v>0</v>
      </c>
      <c r="I273" s="355">
        <f>'AUSM FGD'!$I$33</f>
        <v>0</v>
      </c>
      <c r="J273" s="355">
        <f>'AUSM FGD'!$J$33</f>
        <v>0</v>
      </c>
      <c r="K273" s="355">
        <f>'AUSM FGD'!$K$33</f>
        <v>0</v>
      </c>
      <c r="L273" s="355">
        <f>'AUSM FGD'!$L$33</f>
        <v>0</v>
      </c>
      <c r="M273" s="543">
        <f>'AUSM FGD'!$M$33</f>
        <v>0</v>
      </c>
    </row>
    <row r="274" spans="1:13" s="50" customFormat="1" ht="12.75" hidden="1" customHeight="1" outlineLevel="1">
      <c r="A274" s="293"/>
      <c r="B274" s="392" t="str">
        <f>'HSH FGD'!$B$2</f>
        <v>The University of Texas Health Science Center at Houston</v>
      </c>
      <c r="C274" s="51"/>
      <c r="D274" s="355">
        <f>'HSH FGD'!$D$33</f>
        <v>0</v>
      </c>
      <c r="E274" s="355">
        <f>'HSH FGD'!$E$33</f>
        <v>0</v>
      </c>
      <c r="F274" s="355">
        <f>'HSH FGD'!$F$33</f>
        <v>0</v>
      </c>
      <c r="G274" s="355">
        <f>'HSH FGD'!$G$33</f>
        <v>0</v>
      </c>
      <c r="H274" s="355">
        <f>'HSH FGD'!$H$33</f>
        <v>0</v>
      </c>
      <c r="I274" s="355">
        <f>'HSH FGD'!$I$33</f>
        <v>0</v>
      </c>
      <c r="J274" s="355">
        <f>'HSH FGD'!$J$33</f>
        <v>0</v>
      </c>
      <c r="K274" s="355">
        <f>'HSH FGD'!$K$33</f>
        <v>0</v>
      </c>
      <c r="L274" s="355">
        <f>'HSH FGD'!$L$33</f>
        <v>0</v>
      </c>
      <c r="M274" s="543">
        <f>'HSH FGD'!$M$33</f>
        <v>0</v>
      </c>
    </row>
    <row r="275" spans="1:13" s="50" customFormat="1" ht="12.75" hidden="1" customHeight="1" outlineLevel="1">
      <c r="A275" s="293"/>
      <c r="B275" s="392" t="str">
        <f>'HSSA FGD'!$B$2</f>
        <v>The University of Texas Health Science Center at San Antonio</v>
      </c>
      <c r="C275" s="51"/>
      <c r="D275" s="355">
        <f>'HSSA FGD'!$D$33</f>
        <v>0</v>
      </c>
      <c r="E275" s="355">
        <f>'HSSA FGD'!$E$33</f>
        <v>0</v>
      </c>
      <c r="F275" s="355">
        <f>'HSSA FGD'!$F$33</f>
        <v>0</v>
      </c>
      <c r="G275" s="355">
        <f>'HSSA FGD'!$G$33</f>
        <v>0</v>
      </c>
      <c r="H275" s="355">
        <f>'HSSA FGD'!$H$33</f>
        <v>0</v>
      </c>
      <c r="I275" s="355">
        <f>'HSSA FGD'!$I$33</f>
        <v>0</v>
      </c>
      <c r="J275" s="355">
        <f>'HSSA FGD'!$J$33</f>
        <v>0</v>
      </c>
      <c r="K275" s="355">
        <f>'HSSA FGD'!$K$33</f>
        <v>0</v>
      </c>
      <c r="L275" s="355">
        <f>'HSSA FGD'!$L$33</f>
        <v>0</v>
      </c>
      <c r="M275" s="543">
        <f>'HSSA FGD'!$M$33</f>
        <v>0</v>
      </c>
    </row>
    <row r="276" spans="1:13" s="50" customFormat="1" ht="12.75" hidden="1" customHeight="1" outlineLevel="1">
      <c r="A276" s="293"/>
      <c r="B276" s="392" t="str">
        <f>'MBG FGD'!$B$2</f>
        <v>The University of Texas Medical Branch at Galveston</v>
      </c>
      <c r="C276" s="51"/>
      <c r="D276" s="355">
        <f>'MBG FGD'!$D$33</f>
        <v>0</v>
      </c>
      <c r="E276" s="355">
        <f>'MBG FGD'!$E$33</f>
        <v>0</v>
      </c>
      <c r="F276" s="355">
        <f>'MBG FGD'!$F$33</f>
        <v>0</v>
      </c>
      <c r="G276" s="355">
        <f>'MBG FGD'!$G$33</f>
        <v>0</v>
      </c>
      <c r="H276" s="355">
        <f>'MBG FGD'!$H$33</f>
        <v>0</v>
      </c>
      <c r="I276" s="355">
        <f>'MBG FGD'!$I$33</f>
        <v>0</v>
      </c>
      <c r="J276" s="355">
        <f>'MBG FGD'!$J$33</f>
        <v>0</v>
      </c>
      <c r="K276" s="355">
        <f>'MBG FGD'!$K$33</f>
        <v>0</v>
      </c>
      <c r="L276" s="355">
        <f>'MBG FGD'!$L$33</f>
        <v>0</v>
      </c>
      <c r="M276" s="543">
        <f>'MBG FGD'!$M$33</f>
        <v>0</v>
      </c>
    </row>
    <row r="277" spans="1:13" s="50" customFormat="1" ht="12.75" hidden="1" customHeight="1" outlineLevel="1">
      <c r="A277" s="293"/>
      <c r="B277" s="392" t="str">
        <f>'MDA FGD'!$B$2</f>
        <v>The University of Texas M.D. Anderson Cancer Center</v>
      </c>
      <c r="C277" s="51"/>
      <c r="D277" s="355">
        <f>'MDA FGD'!$D$33</f>
        <v>0</v>
      </c>
      <c r="E277" s="355">
        <f>'MDA FGD'!$E$33</f>
        <v>0</v>
      </c>
      <c r="F277" s="355">
        <f>'MDA FGD'!$F$33</f>
        <v>0</v>
      </c>
      <c r="G277" s="355">
        <f>'MDA FGD'!$G$33</f>
        <v>0</v>
      </c>
      <c r="H277" s="355">
        <f>'MDA FGD'!$H$33</f>
        <v>0</v>
      </c>
      <c r="I277" s="355">
        <f>'MDA FGD'!$I$33</f>
        <v>0</v>
      </c>
      <c r="J277" s="355">
        <f>'MDA FGD'!$J$33</f>
        <v>0</v>
      </c>
      <c r="K277" s="355">
        <f>'MDA FGD'!$K$33</f>
        <v>0</v>
      </c>
      <c r="L277" s="355">
        <f>'MDA FGD'!$L$33</f>
        <v>0</v>
      </c>
      <c r="M277" s="543">
        <f>'MDA FGD'!$M$33</f>
        <v>0</v>
      </c>
    </row>
    <row r="278" spans="1:13" s="50" customFormat="1" ht="12.75" hidden="1" customHeight="1" outlineLevel="1">
      <c r="A278" s="293"/>
      <c r="B278" s="392" t="str">
        <f>'RGVM FGD'!$B$2</f>
        <v>The University of Texas Rio Grande Valley Medical School (M)</v>
      </c>
      <c r="C278" s="51"/>
      <c r="D278" s="355">
        <f>'RGVM FGD'!$D$33</f>
        <v>0</v>
      </c>
      <c r="E278" s="355">
        <f>'RGVM FGD'!$E$33</f>
        <v>0</v>
      </c>
      <c r="F278" s="355">
        <f>'RGVM FGD'!$F$33</f>
        <v>0</v>
      </c>
      <c r="G278" s="355">
        <f>'RGVM FGD'!$G$33</f>
        <v>0</v>
      </c>
      <c r="H278" s="355">
        <f>'RGVM FGD'!$H$33</f>
        <v>0</v>
      </c>
      <c r="I278" s="355">
        <f>'RGVM FGD'!$I$33</f>
        <v>0</v>
      </c>
      <c r="J278" s="355">
        <f>'RGVM FGD'!$J$33</f>
        <v>0</v>
      </c>
      <c r="K278" s="355">
        <f>'RGVM FGD'!$K$33</f>
        <v>0</v>
      </c>
      <c r="L278" s="355">
        <f>'RGVM FGD'!$L$33</f>
        <v>0</v>
      </c>
      <c r="M278" s="543">
        <f>'RGVM FGD'!$M$33</f>
        <v>0</v>
      </c>
    </row>
    <row r="279" spans="1:13" s="50" customFormat="1" ht="12.75" hidden="1" customHeight="1" outlineLevel="1">
      <c r="A279" s="293"/>
      <c r="B279" s="392" t="str">
        <f>'SWM FGD'!$B$2</f>
        <v>The University of Texas Southwestern Medical Center</v>
      </c>
      <c r="C279" s="51"/>
      <c r="D279" s="355">
        <f>'SWM FGD'!$D$33</f>
        <v>0</v>
      </c>
      <c r="E279" s="355">
        <f>'SWM FGD'!$E$33</f>
        <v>0</v>
      </c>
      <c r="F279" s="355">
        <f>'SWM FGD'!$F$33</f>
        <v>0</v>
      </c>
      <c r="G279" s="355">
        <f>'SWM FGD'!$G$33</f>
        <v>0</v>
      </c>
      <c r="H279" s="355">
        <f>'SWM FGD'!$H$33</f>
        <v>0</v>
      </c>
      <c r="I279" s="355">
        <f>'SWM FGD'!$I$33</f>
        <v>0</v>
      </c>
      <c r="J279" s="355">
        <f>'SWM FGD'!$J$33</f>
        <v>0</v>
      </c>
      <c r="K279" s="355">
        <f>'SWM FGD'!$K$33</f>
        <v>0</v>
      </c>
      <c r="L279" s="355">
        <f>'SWM FGD'!$L$33</f>
        <v>0</v>
      </c>
      <c r="M279" s="543">
        <f>'SWM FGD'!$M$33</f>
        <v>0</v>
      </c>
    </row>
    <row r="280" spans="1:13" s="50" customFormat="1" ht="12.75" hidden="1" customHeight="1" outlineLevel="1">
      <c r="A280" s="293"/>
      <c r="B280" s="392" t="str">
        <f>'TAMHSC FGD'!$B$2</f>
        <v>Texas A&amp;M University System Health Science Center</v>
      </c>
      <c r="C280" s="51"/>
      <c r="D280" s="355">
        <f>'TAMHSC FGD'!$D$33</f>
        <v>0</v>
      </c>
      <c r="E280" s="355">
        <f>'TAMHSC FGD'!$E$33</f>
        <v>0</v>
      </c>
      <c r="F280" s="355">
        <f>'TAMHSC FGD'!$F$33</f>
        <v>0</v>
      </c>
      <c r="G280" s="355">
        <f>'TAMHSC FGD'!$G$33</f>
        <v>0</v>
      </c>
      <c r="H280" s="355">
        <f>'TAMHSC FGD'!$H$33</f>
        <v>0</v>
      </c>
      <c r="I280" s="355">
        <f>'TAMHSC FGD'!$I$33</f>
        <v>0</v>
      </c>
      <c r="J280" s="355">
        <f>'TAMHSC FGD'!$J$33</f>
        <v>0</v>
      </c>
      <c r="K280" s="355">
        <f>'TAMHSC FGD'!$K$33</f>
        <v>0</v>
      </c>
      <c r="L280" s="355">
        <f>'TAMHSC FGD'!$L$33</f>
        <v>0</v>
      </c>
      <c r="M280" s="543">
        <f>'TAMHSC FGD'!$M$33</f>
        <v>0</v>
      </c>
    </row>
    <row r="281" spans="1:13" s="50" customFormat="1" ht="12.75" hidden="1" customHeight="1" outlineLevel="1">
      <c r="A281" s="293"/>
      <c r="B281" s="392" t="str">
        <f>'THC FGD'!$B$2</f>
        <v>The University of Texas Health Science Center at Tyler</v>
      </c>
      <c r="C281" s="51"/>
      <c r="D281" s="355">
        <f>'THC FGD'!$D$33</f>
        <v>0</v>
      </c>
      <c r="E281" s="355">
        <f>'THC FGD'!$E$33</f>
        <v>0</v>
      </c>
      <c r="F281" s="355">
        <f>'THC FGD'!$F$33</f>
        <v>0</v>
      </c>
      <c r="G281" s="355">
        <f>'THC FGD'!$G$33</f>
        <v>0</v>
      </c>
      <c r="H281" s="355">
        <f>'THC FGD'!$H$33</f>
        <v>0</v>
      </c>
      <c r="I281" s="355">
        <f>'THC FGD'!$I$33</f>
        <v>0</v>
      </c>
      <c r="J281" s="355">
        <f>'THC FGD'!$J$33</f>
        <v>0</v>
      </c>
      <c r="K281" s="355">
        <f>'THC FGD'!$K$33</f>
        <v>0</v>
      </c>
      <c r="L281" s="355">
        <f>'THC FGD'!$L$33</f>
        <v>0</v>
      </c>
      <c r="M281" s="543">
        <f>'THC FGD'!$M$33</f>
        <v>0</v>
      </c>
    </row>
    <row r="282" spans="1:13" s="50" customFormat="1" ht="12.75" hidden="1" customHeight="1" outlineLevel="1">
      <c r="A282" s="293"/>
      <c r="B282" s="392" t="str">
        <f>'TTUHSC FGD'!$B$2</f>
        <v>Texas Tech University Health Sciences Center</v>
      </c>
      <c r="C282" s="51"/>
      <c r="D282" s="355">
        <f>'TTUHSC FGD'!$D$33</f>
        <v>0</v>
      </c>
      <c r="E282" s="355">
        <f>'TTUHSC FGD'!$E$33</f>
        <v>0</v>
      </c>
      <c r="F282" s="355">
        <f>'TTUHSC FGD'!$F$33</f>
        <v>0</v>
      </c>
      <c r="G282" s="355">
        <f>'TTUHSC FGD'!$G$33</f>
        <v>0</v>
      </c>
      <c r="H282" s="355">
        <f>'TTUHSC FGD'!$H$33</f>
        <v>0</v>
      </c>
      <c r="I282" s="355">
        <f>'TTUHSC FGD'!$I$33</f>
        <v>0</v>
      </c>
      <c r="J282" s="355">
        <f>'TTUHSC FGD'!$J$33</f>
        <v>0</v>
      </c>
      <c r="K282" s="355">
        <f>'TTUHSC FGD'!$K$33</f>
        <v>0</v>
      </c>
      <c r="L282" s="355">
        <f>'TTUHSC FGD'!$L$33</f>
        <v>0</v>
      </c>
      <c r="M282" s="543">
        <f>'TTUHSC FGD'!$M$33</f>
        <v>0</v>
      </c>
    </row>
    <row r="283" spans="1:13" s="50" customFormat="1" ht="12.75" hidden="1" customHeight="1" outlineLevel="1">
      <c r="A283" s="293"/>
      <c r="B283" s="392" t="str">
        <f>'TTUHSCEP FGD'!$B$2</f>
        <v>Texas Tech University Health Sciences Center at El Paso</v>
      </c>
      <c r="C283" s="51"/>
      <c r="D283" s="355">
        <f>'TTUHSCEP FGD'!$D$33</f>
        <v>0</v>
      </c>
      <c r="E283" s="355">
        <f>'TTUHSCEP FGD'!$E$33</f>
        <v>0</v>
      </c>
      <c r="F283" s="355">
        <f>'TTUHSCEP FGD'!$F$33</f>
        <v>0</v>
      </c>
      <c r="G283" s="355">
        <f>'TTUHSCEP FGD'!$G$33</f>
        <v>0</v>
      </c>
      <c r="H283" s="355">
        <f>'TTUHSCEP FGD'!$H$33</f>
        <v>0</v>
      </c>
      <c r="I283" s="355">
        <f>'TTUHSCEP FGD'!$I$33</f>
        <v>0</v>
      </c>
      <c r="J283" s="355">
        <f>'TTUHSCEP FGD'!$J$33</f>
        <v>0</v>
      </c>
      <c r="K283" s="355">
        <f>'TTUHSCEP FGD'!$K$33</f>
        <v>0</v>
      </c>
      <c r="L283" s="355">
        <f>'TTUHSCEP FGD'!$L$33</f>
        <v>0</v>
      </c>
      <c r="M283" s="543">
        <f>'TTUHSCEP FGD'!$M$33</f>
        <v>0</v>
      </c>
    </row>
    <row r="284" spans="1:13" s="50" customFormat="1" ht="12.75" hidden="1" customHeight="1" outlineLevel="1">
      <c r="A284" s="293"/>
      <c r="B284" s="392" t="str">
        <f>'UNTHSC FGD'!$B$2</f>
        <v>University of North Texas Health Science Center at Fort Worth</v>
      </c>
      <c r="C284" s="51"/>
      <c r="D284" s="355">
        <f>'UNTHSC FGD'!$D$33</f>
        <v>0</v>
      </c>
      <c r="E284" s="355">
        <f>'UNTHSC FGD'!$E$33</f>
        <v>0</v>
      </c>
      <c r="F284" s="355">
        <f>'UNTHSC FGD'!$F$33</f>
        <v>0</v>
      </c>
      <c r="G284" s="355">
        <f>'UNTHSC FGD'!$G$33</f>
        <v>0</v>
      </c>
      <c r="H284" s="355">
        <f>'UNTHSC FGD'!$H$33</f>
        <v>0</v>
      </c>
      <c r="I284" s="355">
        <f>'UNTHSC FGD'!$I$33</f>
        <v>0</v>
      </c>
      <c r="J284" s="355">
        <f>'UNTHSC FGD'!$J$33</f>
        <v>0</v>
      </c>
      <c r="K284" s="355">
        <f>'UNTHSC FGD'!$K$33</f>
        <v>0</v>
      </c>
      <c r="L284" s="355">
        <f>'UNTHSC FGD'!$L$33</f>
        <v>0</v>
      </c>
      <c r="M284" s="543">
        <f>'UNTHSC FGD'!$M$33</f>
        <v>0</v>
      </c>
    </row>
    <row r="285" spans="1:13" s="50" customFormat="1" collapsed="1">
      <c r="A285" s="293"/>
      <c r="B285" s="51" t="s">
        <v>639</v>
      </c>
      <c r="C285" s="51"/>
      <c r="D285" s="355">
        <f t="shared" ref="D285:M285" si="20">SUM(D273:D284)</f>
        <v>0</v>
      </c>
      <c r="E285" s="355">
        <f t="shared" si="20"/>
        <v>0</v>
      </c>
      <c r="F285" s="355">
        <f t="shared" si="20"/>
        <v>0</v>
      </c>
      <c r="G285" s="355">
        <f t="shared" si="20"/>
        <v>0</v>
      </c>
      <c r="H285" s="355">
        <f t="shared" si="20"/>
        <v>0</v>
      </c>
      <c r="I285" s="355">
        <f t="shared" si="20"/>
        <v>0</v>
      </c>
      <c r="J285" s="355">
        <f t="shared" si="20"/>
        <v>0</v>
      </c>
      <c r="K285" s="355">
        <f t="shared" si="20"/>
        <v>0</v>
      </c>
      <c r="L285" s="355">
        <f t="shared" si="20"/>
        <v>0</v>
      </c>
      <c r="M285" s="543">
        <f t="shared" si="20"/>
        <v>0</v>
      </c>
    </row>
    <row r="286" spans="1:13" s="50" customFormat="1" hidden="1" outlineLevel="1">
      <c r="A286" s="293"/>
      <c r="B286" s="392" t="str">
        <f>'AUSM FGD'!$B$2</f>
        <v>The University of Texas at Austin Medical School (M)</v>
      </c>
      <c r="C286" s="51"/>
      <c r="D286" s="355">
        <f>'AUSM FGD'!$D$34</f>
        <v>0</v>
      </c>
      <c r="E286" s="355">
        <f>'AUSM FGD'!$E$34</f>
        <v>0</v>
      </c>
      <c r="F286" s="355">
        <f>'AUSM FGD'!$F$34</f>
        <v>0</v>
      </c>
      <c r="G286" s="355">
        <f>'AUSM FGD'!$G$34</f>
        <v>0</v>
      </c>
      <c r="H286" s="355">
        <f>'AUSM FGD'!$H$34</f>
        <v>0</v>
      </c>
      <c r="I286" s="355">
        <f>'AUSM FGD'!$I$34</f>
        <v>0</v>
      </c>
      <c r="J286" s="355">
        <f>'AUSM FGD'!$J$34</f>
        <v>0</v>
      </c>
      <c r="K286" s="355">
        <f>'AUSM FGD'!$K$34</f>
        <v>0</v>
      </c>
      <c r="L286" s="355">
        <f>'AUSM FGD'!$L$34</f>
        <v>0</v>
      </c>
      <c r="M286" s="543">
        <f>'AUSM FGD'!$M$34</f>
        <v>0</v>
      </c>
    </row>
    <row r="287" spans="1:13" s="50" customFormat="1" hidden="1" outlineLevel="1">
      <c r="A287" s="293"/>
      <c r="B287" s="392" t="str">
        <f>'HSH FGD'!$B$2</f>
        <v>The University of Texas Health Science Center at Houston</v>
      </c>
      <c r="C287" s="51"/>
      <c r="D287" s="355">
        <f>'HSH FGD'!$D$34</f>
        <v>0</v>
      </c>
      <c r="E287" s="355">
        <f>'HSH FGD'!$E$34</f>
        <v>0</v>
      </c>
      <c r="F287" s="355">
        <f>'HSH FGD'!$F$34</f>
        <v>0</v>
      </c>
      <c r="G287" s="355">
        <f>'HSH FGD'!$G$34</f>
        <v>0</v>
      </c>
      <c r="H287" s="355">
        <f>'HSH FGD'!$H$34</f>
        <v>0</v>
      </c>
      <c r="I287" s="355">
        <f>'HSH FGD'!$I$34</f>
        <v>0</v>
      </c>
      <c r="J287" s="355">
        <f>'HSH FGD'!$J$34</f>
        <v>0</v>
      </c>
      <c r="K287" s="355">
        <f>'HSH FGD'!$K$34</f>
        <v>0</v>
      </c>
      <c r="L287" s="355">
        <f>'HSH FGD'!$L$34</f>
        <v>0</v>
      </c>
      <c r="M287" s="543">
        <f>'HSH FGD'!$M$34</f>
        <v>0</v>
      </c>
    </row>
    <row r="288" spans="1:13" s="50" customFormat="1" hidden="1" outlineLevel="1">
      <c r="A288" s="293"/>
      <c r="B288" s="392" t="str">
        <f>'HSSA FGD'!$B$2</f>
        <v>The University of Texas Health Science Center at San Antonio</v>
      </c>
      <c r="C288" s="51"/>
      <c r="D288" s="355">
        <f>'HSSA FGD'!$D$34</f>
        <v>0</v>
      </c>
      <c r="E288" s="355">
        <f>'HSSA FGD'!$E$34</f>
        <v>0</v>
      </c>
      <c r="F288" s="355">
        <f>'HSSA FGD'!$F$34</f>
        <v>0</v>
      </c>
      <c r="G288" s="355">
        <f>'HSSA FGD'!$G$34</f>
        <v>0</v>
      </c>
      <c r="H288" s="355">
        <f>'HSSA FGD'!$H$34</f>
        <v>0</v>
      </c>
      <c r="I288" s="355">
        <f>'HSSA FGD'!$I$34</f>
        <v>0</v>
      </c>
      <c r="J288" s="355">
        <f>'HSSA FGD'!$J$34</f>
        <v>0</v>
      </c>
      <c r="K288" s="355">
        <f>'HSSA FGD'!$K$34</f>
        <v>0</v>
      </c>
      <c r="L288" s="355">
        <f>'HSSA FGD'!$L$34</f>
        <v>0</v>
      </c>
      <c r="M288" s="543">
        <f>'HSSA FGD'!$M$34</f>
        <v>0</v>
      </c>
    </row>
    <row r="289" spans="1:13" s="50" customFormat="1" hidden="1" outlineLevel="1">
      <c r="A289" s="293"/>
      <c r="B289" s="392" t="str">
        <f>'MBG FGD'!$B$2</f>
        <v>The University of Texas Medical Branch at Galveston</v>
      </c>
      <c r="C289" s="51"/>
      <c r="D289" s="355">
        <f>'MBG FGD'!$D$34</f>
        <v>0</v>
      </c>
      <c r="E289" s="355">
        <f>'MBG FGD'!$E$34</f>
        <v>0</v>
      </c>
      <c r="F289" s="355">
        <f>'MBG FGD'!$F$34</f>
        <v>0</v>
      </c>
      <c r="G289" s="355">
        <f>'MBG FGD'!$G$34</f>
        <v>0</v>
      </c>
      <c r="H289" s="355">
        <f>'MBG FGD'!$H$34</f>
        <v>0</v>
      </c>
      <c r="I289" s="355">
        <f>'MBG FGD'!$I$34</f>
        <v>0</v>
      </c>
      <c r="J289" s="355">
        <f>'MBG FGD'!$J$34</f>
        <v>0</v>
      </c>
      <c r="K289" s="355">
        <f>'MBG FGD'!$K$34</f>
        <v>0</v>
      </c>
      <c r="L289" s="355">
        <f>'MBG FGD'!$L$34</f>
        <v>0</v>
      </c>
      <c r="M289" s="543">
        <f>'MBG FGD'!$M$34</f>
        <v>0</v>
      </c>
    </row>
    <row r="290" spans="1:13" s="50" customFormat="1" hidden="1" outlineLevel="1">
      <c r="A290" s="293"/>
      <c r="B290" s="392" t="str">
        <f>'MDA FGD'!$B$2</f>
        <v>The University of Texas M.D. Anderson Cancer Center</v>
      </c>
      <c r="C290" s="51"/>
      <c r="D290" s="355">
        <f>'MDA FGD'!$D$34</f>
        <v>0</v>
      </c>
      <c r="E290" s="355">
        <f>'MDA FGD'!$E$34</f>
        <v>0</v>
      </c>
      <c r="F290" s="355">
        <f>'MDA FGD'!$F$34</f>
        <v>0</v>
      </c>
      <c r="G290" s="355">
        <f>'MDA FGD'!$G$34</f>
        <v>0</v>
      </c>
      <c r="H290" s="355">
        <f>'MDA FGD'!$H$34</f>
        <v>0</v>
      </c>
      <c r="I290" s="355">
        <f>'MDA FGD'!$I$34</f>
        <v>0</v>
      </c>
      <c r="J290" s="355">
        <f>'MDA FGD'!$J$34</f>
        <v>0</v>
      </c>
      <c r="K290" s="355">
        <f>'MDA FGD'!$K$34</f>
        <v>0</v>
      </c>
      <c r="L290" s="355">
        <f>'MDA FGD'!$L$34</f>
        <v>0</v>
      </c>
      <c r="M290" s="543">
        <f>'MDA FGD'!$M$34</f>
        <v>0</v>
      </c>
    </row>
    <row r="291" spans="1:13" s="50" customFormat="1" hidden="1" outlineLevel="1">
      <c r="A291" s="293"/>
      <c r="B291" s="392" t="str">
        <f>'RGVM FGD'!$B$2</f>
        <v>The University of Texas Rio Grande Valley Medical School (M)</v>
      </c>
      <c r="C291" s="51"/>
      <c r="D291" s="355">
        <f>'RGVM FGD'!$D$34</f>
        <v>0</v>
      </c>
      <c r="E291" s="355">
        <f>'RGVM FGD'!$E$34</f>
        <v>0</v>
      </c>
      <c r="F291" s="355">
        <f>'RGVM FGD'!$F$34</f>
        <v>0</v>
      </c>
      <c r="G291" s="355">
        <f>'RGVM FGD'!$G$34</f>
        <v>0</v>
      </c>
      <c r="H291" s="355">
        <f>'RGVM FGD'!$H$34</f>
        <v>0</v>
      </c>
      <c r="I291" s="355">
        <f>'RGVM FGD'!$I$34</f>
        <v>0</v>
      </c>
      <c r="J291" s="355">
        <f>'RGVM FGD'!$J$34</f>
        <v>0</v>
      </c>
      <c r="K291" s="355">
        <f>'RGVM FGD'!$K$34</f>
        <v>0</v>
      </c>
      <c r="L291" s="355">
        <f>'RGVM FGD'!$L$34</f>
        <v>0</v>
      </c>
      <c r="M291" s="543">
        <f>'RGVM FGD'!$M$34</f>
        <v>0</v>
      </c>
    </row>
    <row r="292" spans="1:13" s="50" customFormat="1" hidden="1" outlineLevel="1">
      <c r="A292" s="293"/>
      <c r="B292" s="392" t="str">
        <f>'SWM FGD'!$B$2</f>
        <v>The University of Texas Southwestern Medical Center</v>
      </c>
      <c r="C292" s="51"/>
      <c r="D292" s="355">
        <f>'SWM FGD'!$D$34</f>
        <v>0</v>
      </c>
      <c r="E292" s="355">
        <f>'SWM FGD'!$E$34</f>
        <v>0</v>
      </c>
      <c r="F292" s="355">
        <f>'SWM FGD'!$F$34</f>
        <v>0</v>
      </c>
      <c r="G292" s="355">
        <f>'SWM FGD'!$G$34</f>
        <v>0</v>
      </c>
      <c r="H292" s="355">
        <f>'SWM FGD'!$H$34</f>
        <v>0</v>
      </c>
      <c r="I292" s="355">
        <f>'SWM FGD'!$I$34</f>
        <v>0</v>
      </c>
      <c r="J292" s="355">
        <f>'SWM FGD'!$J$34</f>
        <v>0</v>
      </c>
      <c r="K292" s="355">
        <f>'SWM FGD'!$K$34</f>
        <v>0</v>
      </c>
      <c r="L292" s="355">
        <f>'SWM FGD'!$L$34</f>
        <v>0</v>
      </c>
      <c r="M292" s="543">
        <f>'SWM FGD'!$M$34</f>
        <v>0</v>
      </c>
    </row>
    <row r="293" spans="1:13" s="50" customFormat="1" hidden="1" outlineLevel="1">
      <c r="A293" s="293"/>
      <c r="B293" s="392" t="str">
        <f>'TAMHSC FGD'!$B$2</f>
        <v>Texas A&amp;M University System Health Science Center</v>
      </c>
      <c r="C293" s="51"/>
      <c r="D293" s="355">
        <f>'TAMHSC FGD'!$D$34</f>
        <v>0</v>
      </c>
      <c r="E293" s="355">
        <f>'TAMHSC FGD'!$E$34</f>
        <v>0</v>
      </c>
      <c r="F293" s="355">
        <f>'TAMHSC FGD'!$F$34</f>
        <v>0</v>
      </c>
      <c r="G293" s="355">
        <f>'TAMHSC FGD'!$G$34</f>
        <v>0</v>
      </c>
      <c r="H293" s="355">
        <f>'TAMHSC FGD'!$H$34</f>
        <v>0</v>
      </c>
      <c r="I293" s="355">
        <f>'TAMHSC FGD'!$I$34</f>
        <v>0</v>
      </c>
      <c r="J293" s="355">
        <f>'TAMHSC FGD'!$J$34</f>
        <v>0</v>
      </c>
      <c r="K293" s="355">
        <f>'TAMHSC FGD'!$K$34</f>
        <v>0</v>
      </c>
      <c r="L293" s="355">
        <f>'TAMHSC FGD'!$L$34</f>
        <v>0</v>
      </c>
      <c r="M293" s="543">
        <f>'TAMHSC FGD'!$M$34</f>
        <v>0</v>
      </c>
    </row>
    <row r="294" spans="1:13" s="50" customFormat="1" hidden="1" outlineLevel="1">
      <c r="A294" s="293"/>
      <c r="B294" s="392" t="str">
        <f>'THC FGD'!$B$2</f>
        <v>The University of Texas Health Science Center at Tyler</v>
      </c>
      <c r="C294" s="51"/>
      <c r="D294" s="355">
        <f>'THC FGD'!$D$34</f>
        <v>0</v>
      </c>
      <c r="E294" s="355">
        <f>'THC FGD'!$E$34</f>
        <v>0</v>
      </c>
      <c r="F294" s="355">
        <f>'THC FGD'!$F$34</f>
        <v>0</v>
      </c>
      <c r="G294" s="355">
        <f>'THC FGD'!$G$34</f>
        <v>0</v>
      </c>
      <c r="H294" s="355">
        <f>'THC FGD'!$H$34</f>
        <v>0</v>
      </c>
      <c r="I294" s="355">
        <f>'THC FGD'!$I$34</f>
        <v>0</v>
      </c>
      <c r="J294" s="355">
        <f>'THC FGD'!$J$34</f>
        <v>0</v>
      </c>
      <c r="K294" s="355">
        <f>'THC FGD'!$K$34</f>
        <v>0</v>
      </c>
      <c r="L294" s="355">
        <f>'THC FGD'!$L$34</f>
        <v>0</v>
      </c>
      <c r="M294" s="543">
        <f>'THC FGD'!$M$34</f>
        <v>0</v>
      </c>
    </row>
    <row r="295" spans="1:13" s="50" customFormat="1" hidden="1" outlineLevel="1">
      <c r="A295" s="293"/>
      <c r="B295" s="392" t="str">
        <f>'TTUHSC FGD'!$B$2</f>
        <v>Texas Tech University Health Sciences Center</v>
      </c>
      <c r="C295" s="51"/>
      <c r="D295" s="355">
        <f>'TTUHSC FGD'!$D$34</f>
        <v>0</v>
      </c>
      <c r="E295" s="355">
        <f>'TTUHSC FGD'!$E$34</f>
        <v>0</v>
      </c>
      <c r="F295" s="355">
        <f>'TTUHSC FGD'!$F$34</f>
        <v>0</v>
      </c>
      <c r="G295" s="355">
        <f>'TTUHSC FGD'!$G$34</f>
        <v>0</v>
      </c>
      <c r="H295" s="355">
        <f>'TTUHSC FGD'!$H$34</f>
        <v>0</v>
      </c>
      <c r="I295" s="355">
        <f>'TTUHSC FGD'!$I$34</f>
        <v>0</v>
      </c>
      <c r="J295" s="355">
        <f>'TTUHSC FGD'!$J$34</f>
        <v>0</v>
      </c>
      <c r="K295" s="355">
        <f>'TTUHSC FGD'!$K$34</f>
        <v>0</v>
      </c>
      <c r="L295" s="355">
        <f>'TTUHSC FGD'!$L$34</f>
        <v>0</v>
      </c>
      <c r="M295" s="543">
        <f>'TTUHSC FGD'!$M$34</f>
        <v>0</v>
      </c>
    </row>
    <row r="296" spans="1:13" s="50" customFormat="1" hidden="1" outlineLevel="1">
      <c r="A296" s="293"/>
      <c r="B296" s="392" t="str">
        <f>'TTUHSCEP FGD'!$B$2</f>
        <v>Texas Tech University Health Sciences Center at El Paso</v>
      </c>
      <c r="C296" s="51"/>
      <c r="D296" s="355">
        <f>'TTUHSCEP FGD'!$D$34</f>
        <v>0</v>
      </c>
      <c r="E296" s="355">
        <f>'TTUHSCEP FGD'!$E$34</f>
        <v>0</v>
      </c>
      <c r="F296" s="355">
        <f>'TTUHSCEP FGD'!$F$34</f>
        <v>0</v>
      </c>
      <c r="G296" s="355">
        <f>'TTUHSCEP FGD'!$G$34</f>
        <v>0</v>
      </c>
      <c r="H296" s="355">
        <f>'TTUHSCEP FGD'!$H$34</f>
        <v>0</v>
      </c>
      <c r="I296" s="355">
        <f>'TTUHSCEP FGD'!$I$34</f>
        <v>0</v>
      </c>
      <c r="J296" s="355">
        <f>'TTUHSCEP FGD'!$J$34</f>
        <v>0</v>
      </c>
      <c r="K296" s="355">
        <f>'TTUHSCEP FGD'!$K$34</f>
        <v>0</v>
      </c>
      <c r="L296" s="355">
        <f>'TTUHSCEP FGD'!$L$34</f>
        <v>0</v>
      </c>
      <c r="M296" s="543">
        <f>'TTUHSCEP FGD'!$M$34</f>
        <v>0</v>
      </c>
    </row>
    <row r="297" spans="1:13" s="50" customFormat="1" hidden="1" outlineLevel="1">
      <c r="A297" s="293"/>
      <c r="B297" s="392" t="str">
        <f>'UNTHSC FGD'!$B$2</f>
        <v>University of North Texas Health Science Center at Fort Worth</v>
      </c>
      <c r="C297" s="51"/>
      <c r="D297" s="355">
        <f>'UNTHSC FGD'!$D$34</f>
        <v>0</v>
      </c>
      <c r="E297" s="355">
        <f>'UNTHSC FGD'!$E$34</f>
        <v>0</v>
      </c>
      <c r="F297" s="355">
        <f>'UNTHSC FGD'!$F$34</f>
        <v>0</v>
      </c>
      <c r="G297" s="355">
        <f>'UNTHSC FGD'!$G$34</f>
        <v>0</v>
      </c>
      <c r="H297" s="355">
        <f>'UNTHSC FGD'!$H$34</f>
        <v>0</v>
      </c>
      <c r="I297" s="355">
        <f>'UNTHSC FGD'!$I$34</f>
        <v>0</v>
      </c>
      <c r="J297" s="355">
        <f>'UNTHSC FGD'!$J$34</f>
        <v>0</v>
      </c>
      <c r="K297" s="355">
        <f>'UNTHSC FGD'!$K$34</f>
        <v>0</v>
      </c>
      <c r="L297" s="355">
        <f>'UNTHSC FGD'!$L$34</f>
        <v>0</v>
      </c>
      <c r="M297" s="543">
        <f>'UNTHSC FGD'!$M$34</f>
        <v>0</v>
      </c>
    </row>
    <row r="298" spans="1:13" s="50" customFormat="1" collapsed="1">
      <c r="A298" s="293"/>
      <c r="B298" s="51" t="s">
        <v>640</v>
      </c>
      <c r="C298" s="51"/>
      <c r="D298" s="355">
        <f t="shared" ref="D298:M298" si="21">SUM(D286:D297)</f>
        <v>0</v>
      </c>
      <c r="E298" s="355">
        <f t="shared" si="21"/>
        <v>0</v>
      </c>
      <c r="F298" s="355">
        <f t="shared" si="21"/>
        <v>0</v>
      </c>
      <c r="G298" s="355">
        <f t="shared" si="21"/>
        <v>0</v>
      </c>
      <c r="H298" s="355">
        <f t="shared" si="21"/>
        <v>0</v>
      </c>
      <c r="I298" s="355">
        <f t="shared" si="21"/>
        <v>0</v>
      </c>
      <c r="J298" s="355">
        <f t="shared" si="21"/>
        <v>0</v>
      </c>
      <c r="K298" s="355">
        <f t="shared" si="21"/>
        <v>0</v>
      </c>
      <c r="L298" s="355">
        <f t="shared" si="21"/>
        <v>0</v>
      </c>
      <c r="M298" s="543">
        <f t="shared" si="21"/>
        <v>0</v>
      </c>
    </row>
    <row r="299" spans="1:13" s="50" customFormat="1" hidden="1" outlineLevel="1">
      <c r="A299" s="293"/>
      <c r="B299" s="392" t="str">
        <f>'AUSM FGD'!$B$2</f>
        <v>The University of Texas at Austin Medical School (M)</v>
      </c>
      <c r="C299" s="51"/>
      <c r="D299" s="355">
        <f>'AUSM FGD'!$D$35</f>
        <v>0</v>
      </c>
      <c r="E299" s="355">
        <f>'AUSM FGD'!$E$35</f>
        <v>0</v>
      </c>
      <c r="F299" s="355">
        <f>'AUSM FGD'!$F$35</f>
        <v>0</v>
      </c>
      <c r="G299" s="355">
        <f>'AUSM FGD'!$G$35</f>
        <v>0</v>
      </c>
      <c r="H299" s="355">
        <f>'AUSM FGD'!$H$35</f>
        <v>0</v>
      </c>
      <c r="I299" s="355">
        <f>'AUSM FGD'!$I$35</f>
        <v>0</v>
      </c>
      <c r="J299" s="355">
        <f>'AUSM FGD'!$J$35</f>
        <v>0</v>
      </c>
      <c r="K299" s="355">
        <f>'AUSM FGD'!$K$35</f>
        <v>0</v>
      </c>
      <c r="L299" s="355">
        <f>'AUSM FGD'!$L$35</f>
        <v>0</v>
      </c>
      <c r="M299" s="543">
        <f>'AUSM FGD'!$M$35</f>
        <v>0</v>
      </c>
    </row>
    <row r="300" spans="1:13" s="50" customFormat="1" hidden="1" outlineLevel="1">
      <c r="A300" s="293"/>
      <c r="B300" s="392" t="str">
        <f>'HSH FGD'!$B$2</f>
        <v>The University of Texas Health Science Center at Houston</v>
      </c>
      <c r="C300" s="51"/>
      <c r="D300" s="355">
        <f>'HSH FGD'!$D$35</f>
        <v>0</v>
      </c>
      <c r="E300" s="355">
        <f>'HSH FGD'!$E$35</f>
        <v>0</v>
      </c>
      <c r="F300" s="355">
        <f>'HSH FGD'!$F$35</f>
        <v>0</v>
      </c>
      <c r="G300" s="355">
        <f>'HSH FGD'!$G$35</f>
        <v>0</v>
      </c>
      <c r="H300" s="355">
        <f>'HSH FGD'!$H$35</f>
        <v>0</v>
      </c>
      <c r="I300" s="355">
        <f>'HSH FGD'!$I$35</f>
        <v>0</v>
      </c>
      <c r="J300" s="355">
        <f>'HSH FGD'!$J$35</f>
        <v>0</v>
      </c>
      <c r="K300" s="355">
        <f>'HSH FGD'!$K$35</f>
        <v>0</v>
      </c>
      <c r="L300" s="355">
        <f>'HSH FGD'!$L$35</f>
        <v>0</v>
      </c>
      <c r="M300" s="543">
        <f>'HSH FGD'!$M$35</f>
        <v>0</v>
      </c>
    </row>
    <row r="301" spans="1:13" s="50" customFormat="1" hidden="1" outlineLevel="1">
      <c r="A301" s="293"/>
      <c r="B301" s="392" t="str">
        <f>'HSSA FGD'!$B$2</f>
        <v>The University of Texas Health Science Center at San Antonio</v>
      </c>
      <c r="C301" s="51"/>
      <c r="D301" s="355">
        <f>'HSSA FGD'!$D$35</f>
        <v>0</v>
      </c>
      <c r="E301" s="355">
        <f>'HSSA FGD'!$E$35</f>
        <v>0</v>
      </c>
      <c r="F301" s="355">
        <f>'HSSA FGD'!$F$35</f>
        <v>0</v>
      </c>
      <c r="G301" s="355">
        <f>'HSSA FGD'!$G$35</f>
        <v>0</v>
      </c>
      <c r="H301" s="355">
        <f>'HSSA FGD'!$H$35</f>
        <v>0</v>
      </c>
      <c r="I301" s="355">
        <f>'HSSA FGD'!$I$35</f>
        <v>0</v>
      </c>
      <c r="J301" s="355">
        <f>'HSSA FGD'!$J$35</f>
        <v>0</v>
      </c>
      <c r="K301" s="355">
        <f>'HSSA FGD'!$K$35</f>
        <v>0</v>
      </c>
      <c r="L301" s="355">
        <f>'HSSA FGD'!$L$35</f>
        <v>0</v>
      </c>
      <c r="M301" s="543">
        <f>'HSSA FGD'!$M$35</f>
        <v>0</v>
      </c>
    </row>
    <row r="302" spans="1:13" s="50" customFormat="1" hidden="1" outlineLevel="1">
      <c r="A302" s="293"/>
      <c r="B302" s="392" t="str">
        <f>'MBG FGD'!$B$2</f>
        <v>The University of Texas Medical Branch at Galveston</v>
      </c>
      <c r="C302" s="51"/>
      <c r="D302" s="355">
        <f>'MBG FGD'!$D$35</f>
        <v>0</v>
      </c>
      <c r="E302" s="355">
        <f>'MBG FGD'!$E$35</f>
        <v>0</v>
      </c>
      <c r="F302" s="355">
        <f>'MBG FGD'!$F$35</f>
        <v>0</v>
      </c>
      <c r="G302" s="355">
        <f>'MBG FGD'!$G$35</f>
        <v>0</v>
      </c>
      <c r="H302" s="355">
        <f>'MBG FGD'!$H$35</f>
        <v>0</v>
      </c>
      <c r="I302" s="355">
        <f>'MBG FGD'!$I$35</f>
        <v>0</v>
      </c>
      <c r="J302" s="355">
        <f>'MBG FGD'!$J$35</f>
        <v>0</v>
      </c>
      <c r="K302" s="355">
        <f>'MBG FGD'!$K$35</f>
        <v>0</v>
      </c>
      <c r="L302" s="355">
        <f>'MBG FGD'!$L$35</f>
        <v>0</v>
      </c>
      <c r="M302" s="543">
        <f>'MBG FGD'!$M$35</f>
        <v>0</v>
      </c>
    </row>
    <row r="303" spans="1:13" s="50" customFormat="1" hidden="1" outlineLevel="1">
      <c r="A303" s="293"/>
      <c r="B303" s="392" t="str">
        <f>'MDA FGD'!$B$2</f>
        <v>The University of Texas M.D. Anderson Cancer Center</v>
      </c>
      <c r="C303" s="51"/>
      <c r="D303" s="355">
        <f>'MDA FGD'!$D$35</f>
        <v>0</v>
      </c>
      <c r="E303" s="355">
        <f>'MDA FGD'!$E$35</f>
        <v>0</v>
      </c>
      <c r="F303" s="355">
        <f>'MDA FGD'!$F$35</f>
        <v>0</v>
      </c>
      <c r="G303" s="355">
        <f>'MDA FGD'!$G$35</f>
        <v>0</v>
      </c>
      <c r="H303" s="355">
        <f>'MDA FGD'!$H$35</f>
        <v>0</v>
      </c>
      <c r="I303" s="355">
        <f>'MDA FGD'!$I$35</f>
        <v>0</v>
      </c>
      <c r="J303" s="355">
        <f>'MDA FGD'!$J$35</f>
        <v>0</v>
      </c>
      <c r="K303" s="355">
        <f>'MDA FGD'!$K$35</f>
        <v>0</v>
      </c>
      <c r="L303" s="355">
        <f>'MDA FGD'!$L$35</f>
        <v>0</v>
      </c>
      <c r="M303" s="543">
        <f>'MDA FGD'!$M$35</f>
        <v>0</v>
      </c>
    </row>
    <row r="304" spans="1:13" s="50" customFormat="1" hidden="1" outlineLevel="1">
      <c r="A304" s="293"/>
      <c r="B304" s="392" t="str">
        <f>'RGVM FGD'!$B$2</f>
        <v>The University of Texas Rio Grande Valley Medical School (M)</v>
      </c>
      <c r="C304" s="51"/>
      <c r="D304" s="355">
        <f>'RGVM FGD'!$D$35</f>
        <v>0</v>
      </c>
      <c r="E304" s="355">
        <f>'RGVM FGD'!$E$35</f>
        <v>0</v>
      </c>
      <c r="F304" s="355">
        <f>'RGVM FGD'!$F$35</f>
        <v>0</v>
      </c>
      <c r="G304" s="355">
        <f>'RGVM FGD'!$G$35</f>
        <v>0</v>
      </c>
      <c r="H304" s="355">
        <f>'RGVM FGD'!$H$35</f>
        <v>0</v>
      </c>
      <c r="I304" s="355">
        <f>'RGVM FGD'!$I$35</f>
        <v>0</v>
      </c>
      <c r="J304" s="355">
        <f>'RGVM FGD'!$J$35</f>
        <v>0</v>
      </c>
      <c r="K304" s="355">
        <f>'RGVM FGD'!$K$35</f>
        <v>0</v>
      </c>
      <c r="L304" s="355">
        <f>'RGVM FGD'!$L$35</f>
        <v>0</v>
      </c>
      <c r="M304" s="543">
        <f>'RGVM FGD'!$M$35</f>
        <v>0</v>
      </c>
    </row>
    <row r="305" spans="1:13" s="50" customFormat="1" hidden="1" outlineLevel="1">
      <c r="A305" s="293"/>
      <c r="B305" s="392" t="str">
        <f>'SWM FGD'!$B$2</f>
        <v>The University of Texas Southwestern Medical Center</v>
      </c>
      <c r="C305" s="51"/>
      <c r="D305" s="355">
        <f>'SWM FGD'!$D$35</f>
        <v>0</v>
      </c>
      <c r="E305" s="355">
        <f>'SWM FGD'!$E$35</f>
        <v>0</v>
      </c>
      <c r="F305" s="355">
        <f>'SWM FGD'!$F$35</f>
        <v>0</v>
      </c>
      <c r="G305" s="355">
        <f>'SWM FGD'!$G$35</f>
        <v>0</v>
      </c>
      <c r="H305" s="355">
        <f>'SWM FGD'!$H$35</f>
        <v>0</v>
      </c>
      <c r="I305" s="355">
        <f>'SWM FGD'!$I$35</f>
        <v>0</v>
      </c>
      <c r="J305" s="355">
        <f>'SWM FGD'!$J$35</f>
        <v>0</v>
      </c>
      <c r="K305" s="355">
        <f>'SWM FGD'!$K$35</f>
        <v>0</v>
      </c>
      <c r="L305" s="355">
        <f>'SWM FGD'!$L$35</f>
        <v>0</v>
      </c>
      <c r="M305" s="543">
        <f>'SWM FGD'!$M$35</f>
        <v>0</v>
      </c>
    </row>
    <row r="306" spans="1:13" s="50" customFormat="1" hidden="1" outlineLevel="1">
      <c r="A306" s="293"/>
      <c r="B306" s="392" t="str">
        <f>'TAMHSC FGD'!$B$2</f>
        <v>Texas A&amp;M University System Health Science Center</v>
      </c>
      <c r="C306" s="51"/>
      <c r="D306" s="355">
        <f>'TAMHSC FGD'!$D$35</f>
        <v>0</v>
      </c>
      <c r="E306" s="355">
        <f>'TAMHSC FGD'!$E$35</f>
        <v>0</v>
      </c>
      <c r="F306" s="355">
        <f>'TAMHSC FGD'!$F$35</f>
        <v>0</v>
      </c>
      <c r="G306" s="355">
        <f>'TAMHSC FGD'!$G$35</f>
        <v>0</v>
      </c>
      <c r="H306" s="355">
        <f>'TAMHSC FGD'!$H$35</f>
        <v>0</v>
      </c>
      <c r="I306" s="355">
        <f>'TAMHSC FGD'!$I$35</f>
        <v>0</v>
      </c>
      <c r="J306" s="355">
        <f>'TAMHSC FGD'!$J$35</f>
        <v>0</v>
      </c>
      <c r="K306" s="355">
        <f>'TAMHSC FGD'!$K$35</f>
        <v>0</v>
      </c>
      <c r="L306" s="355">
        <f>'TAMHSC FGD'!$L$35</f>
        <v>0</v>
      </c>
      <c r="M306" s="543">
        <f>'TAMHSC FGD'!$M$35</f>
        <v>0</v>
      </c>
    </row>
    <row r="307" spans="1:13" s="50" customFormat="1" hidden="1" outlineLevel="1">
      <c r="A307" s="293"/>
      <c r="B307" s="392" t="str">
        <f>'THC FGD'!$B$2</f>
        <v>The University of Texas Health Science Center at Tyler</v>
      </c>
      <c r="C307" s="51"/>
      <c r="D307" s="355">
        <f>'THC FGD'!$D$35</f>
        <v>0</v>
      </c>
      <c r="E307" s="355">
        <f>'THC FGD'!$E$35</f>
        <v>0</v>
      </c>
      <c r="F307" s="355">
        <f>'THC FGD'!$F$35</f>
        <v>0</v>
      </c>
      <c r="G307" s="355">
        <f>'THC FGD'!$G$35</f>
        <v>0</v>
      </c>
      <c r="H307" s="355">
        <f>'THC FGD'!$H$35</f>
        <v>0</v>
      </c>
      <c r="I307" s="355">
        <f>'THC FGD'!$I$35</f>
        <v>0</v>
      </c>
      <c r="J307" s="355">
        <f>'THC FGD'!$J$35</f>
        <v>0</v>
      </c>
      <c r="K307" s="355">
        <f>'THC FGD'!$K$35</f>
        <v>0</v>
      </c>
      <c r="L307" s="355">
        <f>'THC FGD'!$L$35</f>
        <v>0</v>
      </c>
      <c r="M307" s="543">
        <f>'THC FGD'!$M$35</f>
        <v>0</v>
      </c>
    </row>
    <row r="308" spans="1:13" s="50" customFormat="1" hidden="1" outlineLevel="1">
      <c r="A308" s="293"/>
      <c r="B308" s="392" t="str">
        <f>'TTUHSC FGD'!$B$2</f>
        <v>Texas Tech University Health Sciences Center</v>
      </c>
      <c r="C308" s="51"/>
      <c r="D308" s="355">
        <f>'TTUHSC FGD'!$D$35</f>
        <v>0</v>
      </c>
      <c r="E308" s="355">
        <f>'TTUHSC FGD'!$E$35</f>
        <v>0</v>
      </c>
      <c r="F308" s="355">
        <f>'TTUHSC FGD'!$F$35</f>
        <v>0</v>
      </c>
      <c r="G308" s="355">
        <f>'TTUHSC FGD'!$G$35</f>
        <v>0</v>
      </c>
      <c r="H308" s="355">
        <f>'TTUHSC FGD'!$H$35</f>
        <v>0</v>
      </c>
      <c r="I308" s="355">
        <f>'TTUHSC FGD'!$I$35</f>
        <v>0</v>
      </c>
      <c r="J308" s="355">
        <f>'TTUHSC FGD'!$J$35</f>
        <v>0</v>
      </c>
      <c r="K308" s="355">
        <f>'TTUHSC FGD'!$K$35</f>
        <v>0</v>
      </c>
      <c r="L308" s="355">
        <f>'TTUHSC FGD'!$L$35</f>
        <v>0</v>
      </c>
      <c r="M308" s="543">
        <f>'TTUHSC FGD'!$M$35</f>
        <v>0</v>
      </c>
    </row>
    <row r="309" spans="1:13" s="50" customFormat="1" hidden="1" outlineLevel="1">
      <c r="A309" s="293"/>
      <c r="B309" s="392" t="str">
        <f>'TTUHSCEP FGD'!$B$2</f>
        <v>Texas Tech University Health Sciences Center at El Paso</v>
      </c>
      <c r="C309" s="51"/>
      <c r="D309" s="355">
        <f>'TTUHSCEP FGD'!$D$35</f>
        <v>0</v>
      </c>
      <c r="E309" s="355">
        <f>'TTUHSCEP FGD'!$E$35</f>
        <v>0</v>
      </c>
      <c r="F309" s="355">
        <f>'TTUHSCEP FGD'!$F$35</f>
        <v>0</v>
      </c>
      <c r="G309" s="355">
        <f>'TTUHSCEP FGD'!$G$35</f>
        <v>0</v>
      </c>
      <c r="H309" s="355">
        <f>'TTUHSCEP FGD'!$H$35</f>
        <v>0</v>
      </c>
      <c r="I309" s="355">
        <f>'TTUHSCEP FGD'!$I$35</f>
        <v>0</v>
      </c>
      <c r="J309" s="355">
        <f>'TTUHSCEP FGD'!$J$35</f>
        <v>0</v>
      </c>
      <c r="K309" s="355">
        <f>'TTUHSCEP FGD'!$K$35</f>
        <v>0</v>
      </c>
      <c r="L309" s="355">
        <f>'TTUHSCEP FGD'!$L$35</f>
        <v>0</v>
      </c>
      <c r="M309" s="543">
        <f>'TTUHSCEP FGD'!$M$35</f>
        <v>0</v>
      </c>
    </row>
    <row r="310" spans="1:13" s="50" customFormat="1" hidden="1" outlineLevel="1">
      <c r="A310" s="293"/>
      <c r="B310" s="392" t="str">
        <f>'UNTHSC FGD'!$B$2</f>
        <v>University of North Texas Health Science Center at Fort Worth</v>
      </c>
      <c r="C310" s="51"/>
      <c r="D310" s="355">
        <f>'UNTHSC FGD'!$D$35</f>
        <v>0</v>
      </c>
      <c r="E310" s="355">
        <f>'UNTHSC FGD'!$E$35</f>
        <v>0</v>
      </c>
      <c r="F310" s="355">
        <f>'UNTHSC FGD'!$F$35</f>
        <v>0</v>
      </c>
      <c r="G310" s="355">
        <f>'UNTHSC FGD'!$G$35</f>
        <v>0</v>
      </c>
      <c r="H310" s="355">
        <f>'UNTHSC FGD'!$H$35</f>
        <v>0</v>
      </c>
      <c r="I310" s="355">
        <f>'UNTHSC FGD'!$I$35</f>
        <v>0</v>
      </c>
      <c r="J310" s="355">
        <f>'UNTHSC FGD'!$J$35</f>
        <v>0</v>
      </c>
      <c r="K310" s="355">
        <f>'UNTHSC FGD'!$K$35</f>
        <v>0</v>
      </c>
      <c r="L310" s="355">
        <f>'UNTHSC FGD'!$L$35</f>
        <v>0</v>
      </c>
      <c r="M310" s="543">
        <f>'UNTHSC FGD'!$M$35</f>
        <v>0</v>
      </c>
    </row>
    <row r="311" spans="1:13" s="50" customFormat="1" collapsed="1">
      <c r="A311" s="293"/>
      <c r="B311" s="51" t="s">
        <v>641</v>
      </c>
      <c r="C311" s="51"/>
      <c r="D311" s="355">
        <f t="shared" ref="D311:M311" si="22">SUM(D299:D310)</f>
        <v>0</v>
      </c>
      <c r="E311" s="355">
        <f t="shared" si="22"/>
        <v>0</v>
      </c>
      <c r="F311" s="355">
        <f t="shared" si="22"/>
        <v>0</v>
      </c>
      <c r="G311" s="355">
        <f t="shared" si="22"/>
        <v>0</v>
      </c>
      <c r="H311" s="355">
        <f t="shared" si="22"/>
        <v>0</v>
      </c>
      <c r="I311" s="355">
        <f t="shared" si="22"/>
        <v>0</v>
      </c>
      <c r="J311" s="355">
        <f t="shared" si="22"/>
        <v>0</v>
      </c>
      <c r="K311" s="355">
        <f t="shared" si="22"/>
        <v>0</v>
      </c>
      <c r="L311" s="355">
        <f t="shared" si="22"/>
        <v>0</v>
      </c>
      <c r="M311" s="543">
        <f t="shared" si="22"/>
        <v>0</v>
      </c>
    </row>
    <row r="312" spans="1:13" s="50" customFormat="1" hidden="1" outlineLevel="1">
      <c r="A312" s="293"/>
      <c r="B312" s="392" t="str">
        <f>'AUSM FGD'!$B$2</f>
        <v>The University of Texas at Austin Medical School (M)</v>
      </c>
      <c r="C312" s="51"/>
      <c r="D312" s="355">
        <f>'AUSM FGD'!$D$36</f>
        <v>0</v>
      </c>
      <c r="E312" s="355">
        <f>'AUSM FGD'!$E$36</f>
        <v>574247</v>
      </c>
      <c r="F312" s="355">
        <f>'AUSM FGD'!$F$36</f>
        <v>0</v>
      </c>
      <c r="G312" s="355">
        <f>'AUSM FGD'!$G$36</f>
        <v>0</v>
      </c>
      <c r="H312" s="355">
        <f>'AUSM FGD'!$H$36</f>
        <v>0</v>
      </c>
      <c r="I312" s="355">
        <f>'AUSM FGD'!$I$36</f>
        <v>0</v>
      </c>
      <c r="J312" s="355">
        <f>'AUSM FGD'!$J$36</f>
        <v>0</v>
      </c>
      <c r="K312" s="355">
        <f>'AUSM FGD'!$K$36</f>
        <v>0</v>
      </c>
      <c r="L312" s="355">
        <f>'AUSM FGD'!$L$36</f>
        <v>0</v>
      </c>
      <c r="M312" s="543">
        <f>'AUSM FGD'!$M$36</f>
        <v>574247</v>
      </c>
    </row>
    <row r="313" spans="1:13" s="50" customFormat="1" hidden="1" outlineLevel="1">
      <c r="A313" s="293"/>
      <c r="B313" s="392" t="str">
        <f>'HSH FGD'!$B$2</f>
        <v>The University of Texas Health Science Center at Houston</v>
      </c>
      <c r="C313" s="51"/>
      <c r="D313" s="355">
        <f>'HSH FGD'!$D$36</f>
        <v>196506</v>
      </c>
      <c r="E313" s="355">
        <f>'HSH FGD'!$E$36</f>
        <v>9109184</v>
      </c>
      <c r="F313" s="355">
        <f>'HSH FGD'!$F$36</f>
        <v>2489037</v>
      </c>
      <c r="G313" s="355">
        <f>'HSH FGD'!$G$36</f>
        <v>0</v>
      </c>
      <c r="H313" s="355">
        <f>'HSH FGD'!$H$36</f>
        <v>0</v>
      </c>
      <c r="I313" s="355">
        <f>'HSH FGD'!$I$36</f>
        <v>0</v>
      </c>
      <c r="J313" s="355">
        <f>'HSH FGD'!$J$36</f>
        <v>0</v>
      </c>
      <c r="K313" s="355">
        <f>'HSH FGD'!$K$36</f>
        <v>0</v>
      </c>
      <c r="L313" s="355">
        <f>'HSH FGD'!$L$36</f>
        <v>0</v>
      </c>
      <c r="M313" s="543">
        <f>'HSH FGD'!$M$36</f>
        <v>11794727</v>
      </c>
    </row>
    <row r="314" spans="1:13" s="50" customFormat="1" hidden="1" outlineLevel="1">
      <c r="A314" s="293"/>
      <c r="B314" s="392" t="str">
        <f>'HSSA FGD'!$B$2</f>
        <v>The University of Texas Health Science Center at San Antonio</v>
      </c>
      <c r="C314" s="51"/>
      <c r="D314" s="355">
        <f>'HSSA FGD'!$D$36</f>
        <v>0</v>
      </c>
      <c r="E314" s="355">
        <f>'HSSA FGD'!$E$36</f>
        <v>0</v>
      </c>
      <c r="F314" s="355">
        <f>'HSSA FGD'!$F$36</f>
        <v>2815216</v>
      </c>
      <c r="G314" s="355">
        <f>'HSSA FGD'!$G$36</f>
        <v>0</v>
      </c>
      <c r="H314" s="355">
        <f>'HSSA FGD'!$H$36</f>
        <v>0</v>
      </c>
      <c r="I314" s="355">
        <f>'HSSA FGD'!$I$36</f>
        <v>0</v>
      </c>
      <c r="J314" s="355">
        <f>'HSSA FGD'!$J$36</f>
        <v>0</v>
      </c>
      <c r="K314" s="355">
        <f>'HSSA FGD'!$K$36</f>
        <v>0</v>
      </c>
      <c r="L314" s="355">
        <f>'HSSA FGD'!$L$36</f>
        <v>0</v>
      </c>
      <c r="M314" s="543">
        <f>'HSSA FGD'!$M$36</f>
        <v>2815216</v>
      </c>
    </row>
    <row r="315" spans="1:13" s="50" customFormat="1" hidden="1" outlineLevel="1">
      <c r="A315" s="293"/>
      <c r="B315" s="392" t="str">
        <f>'MBG FGD'!$B$2</f>
        <v>The University of Texas Medical Branch at Galveston</v>
      </c>
      <c r="C315" s="51"/>
      <c r="D315" s="355">
        <f>'MBG FGD'!$D$36</f>
        <v>477290</v>
      </c>
      <c r="E315" s="355">
        <f>'MBG FGD'!$E$36</f>
        <v>7521089</v>
      </c>
      <c r="F315" s="355">
        <f>'MBG FGD'!$F$36</f>
        <v>541517</v>
      </c>
      <c r="G315" s="355">
        <f>'MBG FGD'!$G$36</f>
        <v>0</v>
      </c>
      <c r="H315" s="355">
        <f>'MBG FGD'!$H$36</f>
        <v>0</v>
      </c>
      <c r="I315" s="355">
        <f>'MBG FGD'!$I$36</f>
        <v>0</v>
      </c>
      <c r="J315" s="355">
        <f>'MBG FGD'!$J$36</f>
        <v>0</v>
      </c>
      <c r="K315" s="355">
        <f>'MBG FGD'!$K$36</f>
        <v>0</v>
      </c>
      <c r="L315" s="355">
        <f>'MBG FGD'!$L$36</f>
        <v>0</v>
      </c>
      <c r="M315" s="543">
        <f>'MBG FGD'!$M$36</f>
        <v>8539896</v>
      </c>
    </row>
    <row r="316" spans="1:13" s="50" customFormat="1" hidden="1" outlineLevel="1">
      <c r="A316" s="293"/>
      <c r="B316" s="392" t="str">
        <f>'MDA FGD'!$B$2</f>
        <v>The University of Texas M.D. Anderson Cancer Center</v>
      </c>
      <c r="C316" s="51"/>
      <c r="D316" s="355">
        <f>'MDA FGD'!$D$36</f>
        <v>0</v>
      </c>
      <c r="E316" s="355">
        <f>'MDA FGD'!$E$36</f>
        <v>134722</v>
      </c>
      <c r="F316" s="355">
        <f>'MDA FGD'!$F$36</f>
        <v>0</v>
      </c>
      <c r="G316" s="355">
        <f>'MDA FGD'!$G$36</f>
        <v>0</v>
      </c>
      <c r="H316" s="355">
        <f>'MDA FGD'!$H$36</f>
        <v>0</v>
      </c>
      <c r="I316" s="355">
        <f>'MDA FGD'!$I$36</f>
        <v>0</v>
      </c>
      <c r="J316" s="355">
        <f>'MDA FGD'!$J$36</f>
        <v>0</v>
      </c>
      <c r="K316" s="355">
        <f>'MDA FGD'!$K$36</f>
        <v>0</v>
      </c>
      <c r="L316" s="355">
        <f>'MDA FGD'!$L$36</f>
        <v>0</v>
      </c>
      <c r="M316" s="543">
        <f>'MDA FGD'!$M$36</f>
        <v>134722</v>
      </c>
    </row>
    <row r="317" spans="1:13" s="50" customFormat="1" hidden="1" outlineLevel="1">
      <c r="A317" s="293"/>
      <c r="B317" s="392" t="str">
        <f>'RGVM FGD'!$B$2</f>
        <v>The University of Texas Rio Grande Valley Medical School (M)</v>
      </c>
      <c r="C317" s="51"/>
      <c r="D317" s="355">
        <f>'RGVM FGD'!$D$36</f>
        <v>6600</v>
      </c>
      <c r="E317" s="355">
        <f>'RGVM FGD'!$E$36</f>
        <v>347504</v>
      </c>
      <c r="F317" s="355">
        <f>'RGVM FGD'!$F$36</f>
        <v>99537</v>
      </c>
      <c r="G317" s="355">
        <f>'RGVM FGD'!$G$36</f>
        <v>0</v>
      </c>
      <c r="H317" s="355">
        <f>'RGVM FGD'!$H$36</f>
        <v>0</v>
      </c>
      <c r="I317" s="355">
        <f>'RGVM FGD'!$I$36</f>
        <v>0</v>
      </c>
      <c r="J317" s="355">
        <f>'RGVM FGD'!$J$36</f>
        <v>0</v>
      </c>
      <c r="K317" s="355">
        <f>'RGVM FGD'!$K$36</f>
        <v>0</v>
      </c>
      <c r="L317" s="355">
        <f>'RGVM FGD'!$L$36</f>
        <v>0</v>
      </c>
      <c r="M317" s="543">
        <f>'RGVM FGD'!$M$36</f>
        <v>453641</v>
      </c>
    </row>
    <row r="318" spans="1:13" s="50" customFormat="1" hidden="1" outlineLevel="1">
      <c r="A318" s="293"/>
      <c r="B318" s="392" t="str">
        <f>'SWM FGD'!$B$2</f>
        <v>The University of Texas Southwestern Medical Center</v>
      </c>
      <c r="C318" s="51"/>
      <c r="D318" s="355">
        <f>'SWM FGD'!$D$36</f>
        <v>49858</v>
      </c>
      <c r="E318" s="355">
        <f>'SWM FGD'!$E$36</f>
        <v>919110</v>
      </c>
      <c r="F318" s="355">
        <f>'SWM FGD'!$F$36</f>
        <v>1665439</v>
      </c>
      <c r="G318" s="355">
        <f>'SWM FGD'!$G$36</f>
        <v>0</v>
      </c>
      <c r="H318" s="355">
        <f>'SWM FGD'!$H$36</f>
        <v>0</v>
      </c>
      <c r="I318" s="355">
        <f>'SWM FGD'!$I$36</f>
        <v>0</v>
      </c>
      <c r="J318" s="355">
        <f>'SWM FGD'!$J$36</f>
        <v>0</v>
      </c>
      <c r="K318" s="355">
        <f>'SWM FGD'!$K$36</f>
        <v>0</v>
      </c>
      <c r="L318" s="355">
        <f>'SWM FGD'!$L$36</f>
        <v>0</v>
      </c>
      <c r="M318" s="543">
        <f>'SWM FGD'!$M$36</f>
        <v>2634407</v>
      </c>
    </row>
    <row r="319" spans="1:13" s="50" customFormat="1" hidden="1" outlineLevel="1">
      <c r="A319" s="293"/>
      <c r="B319" s="392" t="str">
        <f>'TAMHSC FGD'!$B$2</f>
        <v>Texas A&amp;M University System Health Science Center</v>
      </c>
      <c r="C319" s="51"/>
      <c r="D319" s="355">
        <f>'TAMHSC FGD'!$D$36</f>
        <v>67581</v>
      </c>
      <c r="E319" s="355">
        <f>'TAMHSC FGD'!$E$36</f>
        <v>12856685</v>
      </c>
      <c r="F319" s="355">
        <f>'TAMHSC FGD'!$F$36</f>
        <v>1214818</v>
      </c>
      <c r="G319" s="355">
        <f>'TAMHSC FGD'!$G$36</f>
        <v>0</v>
      </c>
      <c r="H319" s="355">
        <f>'TAMHSC FGD'!$H$36</f>
        <v>0</v>
      </c>
      <c r="I319" s="355">
        <f>'TAMHSC FGD'!$I$36</f>
        <v>0</v>
      </c>
      <c r="J319" s="355">
        <f>'TAMHSC FGD'!$J$36</f>
        <v>0</v>
      </c>
      <c r="K319" s="355">
        <f>'TAMHSC FGD'!$K$36</f>
        <v>0</v>
      </c>
      <c r="L319" s="355">
        <f>'TAMHSC FGD'!$L$36</f>
        <v>0</v>
      </c>
      <c r="M319" s="543">
        <f>'TAMHSC FGD'!$M$36</f>
        <v>14139084</v>
      </c>
    </row>
    <row r="320" spans="1:13" s="50" customFormat="1" hidden="1" outlineLevel="1">
      <c r="A320" s="293"/>
      <c r="B320" s="392" t="str">
        <f>'THC FGD'!$B$2</f>
        <v>The University of Texas Health Science Center at Tyler</v>
      </c>
      <c r="C320" s="51"/>
      <c r="D320" s="355">
        <f>'THC FGD'!$D$36</f>
        <v>990</v>
      </c>
      <c r="E320" s="355">
        <f>'THC FGD'!$E$36</f>
        <v>27937</v>
      </c>
      <c r="F320" s="355">
        <f>'THC FGD'!$F$36</f>
        <v>0</v>
      </c>
      <c r="G320" s="355">
        <f>'THC FGD'!$G$36</f>
        <v>0</v>
      </c>
      <c r="H320" s="355">
        <f>'THC FGD'!$H$36</f>
        <v>0</v>
      </c>
      <c r="I320" s="355">
        <f>'THC FGD'!$I$36</f>
        <v>0</v>
      </c>
      <c r="J320" s="355">
        <f>'THC FGD'!$J$36</f>
        <v>0</v>
      </c>
      <c r="K320" s="355">
        <f>'THC FGD'!$K$36</f>
        <v>0</v>
      </c>
      <c r="L320" s="355">
        <f>'THC FGD'!$L$36</f>
        <v>0</v>
      </c>
      <c r="M320" s="543">
        <f>'THC FGD'!$M$36</f>
        <v>28927</v>
      </c>
    </row>
    <row r="321" spans="1:13" s="50" customFormat="1" hidden="1" outlineLevel="1">
      <c r="A321" s="293"/>
      <c r="B321" s="392" t="str">
        <f>'TTUHSC FGD'!$B$2</f>
        <v>Texas Tech University Health Sciences Center</v>
      </c>
      <c r="C321" s="51"/>
      <c r="D321" s="355">
        <f>'TTUHSC FGD'!$D$36</f>
        <v>0</v>
      </c>
      <c r="E321" s="355">
        <f>'TTUHSC FGD'!$E$36</f>
        <v>14189019</v>
      </c>
      <c r="F321" s="355">
        <f>'TTUHSC FGD'!$F$36</f>
        <v>0</v>
      </c>
      <c r="G321" s="355">
        <f>'TTUHSC FGD'!$G$36</f>
        <v>0</v>
      </c>
      <c r="H321" s="355">
        <f>'TTUHSC FGD'!$H$36</f>
        <v>0</v>
      </c>
      <c r="I321" s="355">
        <f>'TTUHSC FGD'!$I$36</f>
        <v>0</v>
      </c>
      <c r="J321" s="355">
        <f>'TTUHSC FGD'!$J$36</f>
        <v>0</v>
      </c>
      <c r="K321" s="355">
        <f>'TTUHSC FGD'!$K$36</f>
        <v>0</v>
      </c>
      <c r="L321" s="355">
        <f>'TTUHSC FGD'!$L$36</f>
        <v>0</v>
      </c>
      <c r="M321" s="543">
        <f>'TTUHSC FGD'!$M$36</f>
        <v>14189019</v>
      </c>
    </row>
    <row r="322" spans="1:13" s="50" customFormat="1" hidden="1" outlineLevel="1">
      <c r="A322" s="293"/>
      <c r="B322" s="392" t="str">
        <f>'TTUHSCEP FGD'!$B$2</f>
        <v>Texas Tech University Health Sciences Center at El Paso</v>
      </c>
      <c r="C322" s="51"/>
      <c r="D322" s="355">
        <f>'TTUHSCEP FGD'!$D$36</f>
        <v>0</v>
      </c>
      <c r="E322" s="355">
        <f>'TTUHSCEP FGD'!$E$36</f>
        <v>2611631</v>
      </c>
      <c r="F322" s="355">
        <f>'TTUHSCEP FGD'!$F$36</f>
        <v>0</v>
      </c>
      <c r="G322" s="355">
        <f>'TTUHSCEP FGD'!$G$36</f>
        <v>0</v>
      </c>
      <c r="H322" s="355">
        <f>'TTUHSCEP FGD'!$H$36</f>
        <v>0</v>
      </c>
      <c r="I322" s="355">
        <f>'TTUHSCEP FGD'!$I$36</f>
        <v>0</v>
      </c>
      <c r="J322" s="355">
        <f>'TTUHSCEP FGD'!$J$36</f>
        <v>0</v>
      </c>
      <c r="K322" s="355">
        <f>'TTUHSCEP FGD'!$K$36</f>
        <v>0</v>
      </c>
      <c r="L322" s="355">
        <f>'TTUHSCEP FGD'!$L$36</f>
        <v>0</v>
      </c>
      <c r="M322" s="543">
        <f>'TTUHSCEP FGD'!$M$36</f>
        <v>2611631</v>
      </c>
    </row>
    <row r="323" spans="1:13" s="50" customFormat="1" hidden="1" outlineLevel="1">
      <c r="A323" s="293"/>
      <c r="B323" s="392" t="str">
        <f>'UNTHSC FGD'!$B$2</f>
        <v>University of North Texas Health Science Center at Fort Worth</v>
      </c>
      <c r="C323" s="51"/>
      <c r="D323" s="355">
        <f>'UNTHSC FGD'!$D$36</f>
        <v>24382</v>
      </c>
      <c r="E323" s="355">
        <f>'UNTHSC FGD'!$E$36</f>
        <v>8659573</v>
      </c>
      <c r="F323" s="355">
        <f>'UNTHSC FGD'!$F$36</f>
        <v>0</v>
      </c>
      <c r="G323" s="355">
        <f>'UNTHSC FGD'!$G$36</f>
        <v>0</v>
      </c>
      <c r="H323" s="355">
        <f>'UNTHSC FGD'!$H$36</f>
        <v>0</v>
      </c>
      <c r="I323" s="355">
        <f>'UNTHSC FGD'!$I$36</f>
        <v>0</v>
      </c>
      <c r="J323" s="355">
        <f>'UNTHSC FGD'!$J$36</f>
        <v>0</v>
      </c>
      <c r="K323" s="355">
        <f>'UNTHSC FGD'!$K$36</f>
        <v>0</v>
      </c>
      <c r="L323" s="355">
        <f>'UNTHSC FGD'!$L$36</f>
        <v>0</v>
      </c>
      <c r="M323" s="543">
        <f>'UNTHSC FGD'!$M$36</f>
        <v>8683955</v>
      </c>
    </row>
    <row r="324" spans="1:13" s="50" customFormat="1" collapsed="1">
      <c r="A324" s="293"/>
      <c r="B324" s="536" t="s">
        <v>648</v>
      </c>
      <c r="C324" s="179"/>
      <c r="D324" s="541">
        <f t="shared" ref="D324:M324" si="23">SUM(D312:D323)</f>
        <v>823207</v>
      </c>
      <c r="E324" s="541">
        <f t="shared" si="23"/>
        <v>56950701</v>
      </c>
      <c r="F324" s="541">
        <f t="shared" si="23"/>
        <v>8825564</v>
      </c>
      <c r="G324" s="541">
        <f t="shared" si="23"/>
        <v>0</v>
      </c>
      <c r="H324" s="541">
        <f t="shared" si="23"/>
        <v>0</v>
      </c>
      <c r="I324" s="541">
        <f t="shared" si="23"/>
        <v>0</v>
      </c>
      <c r="J324" s="541">
        <f t="shared" si="23"/>
        <v>0</v>
      </c>
      <c r="K324" s="541">
        <f t="shared" si="23"/>
        <v>0</v>
      </c>
      <c r="L324" s="541">
        <f t="shared" si="23"/>
        <v>0</v>
      </c>
      <c r="M324" s="542">
        <f t="shared" si="23"/>
        <v>66599472</v>
      </c>
    </row>
    <row r="325" spans="1:13" s="50" customFormat="1" hidden="1" outlineLevel="1">
      <c r="A325" s="293"/>
      <c r="B325" s="392" t="str">
        <f>'AUSM FGD'!$B$2</f>
        <v>The University of Texas at Austin Medical School (M)</v>
      </c>
      <c r="C325" s="180"/>
      <c r="D325" s="559">
        <f>'AUSM FGD'!$D$37</f>
        <v>0</v>
      </c>
      <c r="E325" s="559">
        <f>'AUSM FGD'!$E$37</f>
        <v>0</v>
      </c>
      <c r="F325" s="559">
        <f>'AUSM FGD'!$F$37</f>
        <v>0</v>
      </c>
      <c r="G325" s="559">
        <f>'AUSM FGD'!$G$37</f>
        <v>0</v>
      </c>
      <c r="H325" s="559">
        <f>'AUSM FGD'!$H$37</f>
        <v>0</v>
      </c>
      <c r="I325" s="559">
        <f>'AUSM FGD'!$I$37</f>
        <v>0</v>
      </c>
      <c r="J325" s="559">
        <f>'AUSM FGD'!$J$37</f>
        <v>0</v>
      </c>
      <c r="K325" s="559">
        <f>'AUSM FGD'!$K$37</f>
        <v>0</v>
      </c>
      <c r="L325" s="559">
        <f>'AUSM FGD'!$L$37</f>
        <v>0</v>
      </c>
      <c r="M325" s="543">
        <f>'AUSM FGD'!$M$37</f>
        <v>0</v>
      </c>
    </row>
    <row r="326" spans="1:13" s="50" customFormat="1" hidden="1" outlineLevel="1">
      <c r="A326" s="293"/>
      <c r="B326" s="392" t="str">
        <f>'HSH FGD'!$B$2</f>
        <v>The University of Texas Health Science Center at Houston</v>
      </c>
      <c r="C326" s="180"/>
      <c r="D326" s="559">
        <f>'HSH FGD'!$D$37</f>
        <v>0</v>
      </c>
      <c r="E326" s="559">
        <f>'HSH FGD'!$E$37</f>
        <v>0</v>
      </c>
      <c r="F326" s="559">
        <f>'HSH FGD'!$F$37</f>
        <v>0</v>
      </c>
      <c r="G326" s="559">
        <f>'HSH FGD'!$G$37</f>
        <v>0</v>
      </c>
      <c r="H326" s="559">
        <f>'HSH FGD'!$H$37</f>
        <v>0</v>
      </c>
      <c r="I326" s="559">
        <f>'HSH FGD'!$I$37</f>
        <v>0</v>
      </c>
      <c r="J326" s="559">
        <f>'HSH FGD'!$J$37</f>
        <v>0</v>
      </c>
      <c r="K326" s="559">
        <f>'HSH FGD'!$K$37</f>
        <v>0</v>
      </c>
      <c r="L326" s="559">
        <f>'HSH FGD'!$L$37</f>
        <v>0</v>
      </c>
      <c r="M326" s="543">
        <f>'HSH FGD'!$M$37</f>
        <v>0</v>
      </c>
    </row>
    <row r="327" spans="1:13" s="50" customFormat="1" hidden="1" outlineLevel="1">
      <c r="A327" s="293"/>
      <c r="B327" s="392" t="str">
        <f>'HSSA FGD'!$B$2</f>
        <v>The University of Texas Health Science Center at San Antonio</v>
      </c>
      <c r="C327" s="180"/>
      <c r="D327" s="559">
        <f>'HSSA FGD'!$D$37</f>
        <v>0</v>
      </c>
      <c r="E327" s="559">
        <f>'HSSA FGD'!$E$37</f>
        <v>0</v>
      </c>
      <c r="F327" s="559">
        <f>'HSSA FGD'!$F$37</f>
        <v>0</v>
      </c>
      <c r="G327" s="559">
        <f>'HSSA FGD'!$G$37</f>
        <v>0</v>
      </c>
      <c r="H327" s="559">
        <f>'HSSA FGD'!$H$37</f>
        <v>0</v>
      </c>
      <c r="I327" s="559">
        <f>'HSSA FGD'!$I$37</f>
        <v>0</v>
      </c>
      <c r="J327" s="559">
        <f>'HSSA FGD'!$J$37</f>
        <v>0</v>
      </c>
      <c r="K327" s="559">
        <f>'HSSA FGD'!$K$37</f>
        <v>0</v>
      </c>
      <c r="L327" s="559">
        <f>'HSSA FGD'!$L$37</f>
        <v>0</v>
      </c>
      <c r="M327" s="543">
        <f>'HSSA FGD'!$M$37</f>
        <v>0</v>
      </c>
    </row>
    <row r="328" spans="1:13" s="50" customFormat="1" hidden="1" outlineLevel="1">
      <c r="A328" s="293"/>
      <c r="B328" s="392" t="str">
        <f>'MBG FGD'!$B$2</f>
        <v>The University of Texas Medical Branch at Galveston</v>
      </c>
      <c r="C328" s="180"/>
      <c r="D328" s="559">
        <f>'MBG FGD'!$D$37</f>
        <v>0</v>
      </c>
      <c r="E328" s="559">
        <f>'MBG FGD'!$E$37</f>
        <v>0</v>
      </c>
      <c r="F328" s="559">
        <f>'MBG FGD'!$F$37</f>
        <v>0</v>
      </c>
      <c r="G328" s="559">
        <f>'MBG FGD'!$G$37</f>
        <v>0</v>
      </c>
      <c r="H328" s="559">
        <f>'MBG FGD'!$H$37</f>
        <v>0</v>
      </c>
      <c r="I328" s="559">
        <f>'MBG FGD'!$I$37</f>
        <v>0</v>
      </c>
      <c r="J328" s="559">
        <f>'MBG FGD'!$J$37</f>
        <v>0</v>
      </c>
      <c r="K328" s="559">
        <f>'MBG FGD'!$K$37</f>
        <v>0</v>
      </c>
      <c r="L328" s="559">
        <f>'MBG FGD'!$L$37</f>
        <v>0</v>
      </c>
      <c r="M328" s="543">
        <f>'MBG FGD'!$M$37</f>
        <v>0</v>
      </c>
    </row>
    <row r="329" spans="1:13" s="50" customFormat="1" hidden="1" outlineLevel="1">
      <c r="A329" s="293"/>
      <c r="B329" s="392" t="str">
        <f>'MDA FGD'!$B$2</f>
        <v>The University of Texas M.D. Anderson Cancer Center</v>
      </c>
      <c r="C329" s="180"/>
      <c r="D329" s="559">
        <f>'MDA FGD'!$D$37</f>
        <v>0</v>
      </c>
      <c r="E329" s="559">
        <f>'MDA FGD'!$E$37</f>
        <v>0</v>
      </c>
      <c r="F329" s="559">
        <f>'MDA FGD'!$F$37</f>
        <v>0</v>
      </c>
      <c r="G329" s="559">
        <f>'MDA FGD'!$G$37</f>
        <v>0</v>
      </c>
      <c r="H329" s="559">
        <f>'MDA FGD'!$H$37</f>
        <v>0</v>
      </c>
      <c r="I329" s="559">
        <f>'MDA FGD'!$I$37</f>
        <v>0</v>
      </c>
      <c r="J329" s="559">
        <f>'MDA FGD'!$J$37</f>
        <v>0</v>
      </c>
      <c r="K329" s="559">
        <f>'MDA FGD'!$K$37</f>
        <v>0</v>
      </c>
      <c r="L329" s="559">
        <f>'MDA FGD'!$L$37</f>
        <v>0</v>
      </c>
      <c r="M329" s="543">
        <f>'MDA FGD'!$M$37</f>
        <v>0</v>
      </c>
    </row>
    <row r="330" spans="1:13" s="50" customFormat="1" hidden="1" outlineLevel="1">
      <c r="A330" s="293"/>
      <c r="B330" s="392" t="str">
        <f>'RGVM FGD'!$B$2</f>
        <v>The University of Texas Rio Grande Valley Medical School (M)</v>
      </c>
      <c r="C330" s="180"/>
      <c r="D330" s="559">
        <f>'RGVM FGD'!$D$37</f>
        <v>0</v>
      </c>
      <c r="E330" s="559">
        <f>'RGVM FGD'!$E$37</f>
        <v>0</v>
      </c>
      <c r="F330" s="559">
        <f>'RGVM FGD'!$F$37</f>
        <v>0</v>
      </c>
      <c r="G330" s="559">
        <f>'RGVM FGD'!$G$37</f>
        <v>0</v>
      </c>
      <c r="H330" s="559">
        <f>'RGVM FGD'!$H$37</f>
        <v>0</v>
      </c>
      <c r="I330" s="559">
        <f>'RGVM FGD'!$I$37</f>
        <v>0</v>
      </c>
      <c r="J330" s="559">
        <f>'RGVM FGD'!$J$37</f>
        <v>0</v>
      </c>
      <c r="K330" s="559">
        <f>'RGVM FGD'!$K$37</f>
        <v>0</v>
      </c>
      <c r="L330" s="559">
        <f>'RGVM FGD'!$L$37</f>
        <v>0</v>
      </c>
      <c r="M330" s="543">
        <f>'RGVM FGD'!$M$37</f>
        <v>0</v>
      </c>
    </row>
    <row r="331" spans="1:13" s="50" customFormat="1" hidden="1" outlineLevel="1">
      <c r="A331" s="293"/>
      <c r="B331" s="392" t="str">
        <f>'SWM FGD'!$B$2</f>
        <v>The University of Texas Southwestern Medical Center</v>
      </c>
      <c r="C331" s="180"/>
      <c r="D331" s="559">
        <f>'SWM FGD'!$D$37</f>
        <v>0</v>
      </c>
      <c r="E331" s="559">
        <f>'SWM FGD'!$E$37</f>
        <v>0</v>
      </c>
      <c r="F331" s="559">
        <f>'SWM FGD'!$F$37</f>
        <v>0</v>
      </c>
      <c r="G331" s="559">
        <f>'SWM FGD'!$G$37</f>
        <v>0</v>
      </c>
      <c r="H331" s="559">
        <f>'SWM FGD'!$H$37</f>
        <v>0</v>
      </c>
      <c r="I331" s="559">
        <f>'SWM FGD'!$I$37</f>
        <v>0</v>
      </c>
      <c r="J331" s="559">
        <f>'SWM FGD'!$J$37</f>
        <v>0</v>
      </c>
      <c r="K331" s="559">
        <f>'SWM FGD'!$K$37</f>
        <v>0</v>
      </c>
      <c r="L331" s="559">
        <f>'SWM FGD'!$L$37</f>
        <v>0</v>
      </c>
      <c r="M331" s="543">
        <f>'SWM FGD'!$M$37</f>
        <v>0</v>
      </c>
    </row>
    <row r="332" spans="1:13" s="50" customFormat="1" hidden="1" outlineLevel="1">
      <c r="A332" s="293"/>
      <c r="B332" s="392" t="str">
        <f>'TAMHSC FGD'!$B$2</f>
        <v>Texas A&amp;M University System Health Science Center</v>
      </c>
      <c r="C332" s="180"/>
      <c r="D332" s="559">
        <f>'TAMHSC FGD'!$D$37</f>
        <v>0</v>
      </c>
      <c r="E332" s="559">
        <f>'TAMHSC FGD'!$E$37</f>
        <v>0</v>
      </c>
      <c r="F332" s="559">
        <f>'TAMHSC FGD'!$F$37</f>
        <v>0</v>
      </c>
      <c r="G332" s="559">
        <f>'TAMHSC FGD'!$G$37</f>
        <v>0</v>
      </c>
      <c r="H332" s="559">
        <f>'TAMHSC FGD'!$H$37</f>
        <v>0</v>
      </c>
      <c r="I332" s="559">
        <f>'TAMHSC FGD'!$I$37</f>
        <v>0</v>
      </c>
      <c r="J332" s="559">
        <f>'TAMHSC FGD'!$J$37</f>
        <v>0</v>
      </c>
      <c r="K332" s="559">
        <f>'TAMHSC FGD'!$K$37</f>
        <v>0</v>
      </c>
      <c r="L332" s="559">
        <f>'TAMHSC FGD'!$L$37</f>
        <v>0</v>
      </c>
      <c r="M332" s="543">
        <f>'TAMHSC FGD'!$M$37</f>
        <v>0</v>
      </c>
    </row>
    <row r="333" spans="1:13" s="50" customFormat="1" hidden="1" outlineLevel="1">
      <c r="A333" s="293"/>
      <c r="B333" s="392" t="str">
        <f>'THC FGD'!$B$2</f>
        <v>The University of Texas Health Science Center at Tyler</v>
      </c>
      <c r="C333" s="180"/>
      <c r="D333" s="559">
        <f>'THC FGD'!$D$37</f>
        <v>0</v>
      </c>
      <c r="E333" s="559">
        <f>'THC FGD'!$E$37</f>
        <v>0</v>
      </c>
      <c r="F333" s="559">
        <f>'THC FGD'!$F$37</f>
        <v>0</v>
      </c>
      <c r="G333" s="559">
        <f>'THC FGD'!$G$37</f>
        <v>0</v>
      </c>
      <c r="H333" s="559">
        <f>'THC FGD'!$H$37</f>
        <v>0</v>
      </c>
      <c r="I333" s="559">
        <f>'THC FGD'!$I$37</f>
        <v>0</v>
      </c>
      <c r="J333" s="559">
        <f>'THC FGD'!$J$37</f>
        <v>0</v>
      </c>
      <c r="K333" s="559">
        <f>'THC FGD'!$K$37</f>
        <v>0</v>
      </c>
      <c r="L333" s="559">
        <f>'THC FGD'!$L$37</f>
        <v>0</v>
      </c>
      <c r="M333" s="543">
        <f>'THC FGD'!$M$37</f>
        <v>0</v>
      </c>
    </row>
    <row r="334" spans="1:13" s="50" customFormat="1" hidden="1" outlineLevel="1">
      <c r="A334" s="293"/>
      <c r="B334" s="392" t="str">
        <f>'TTUHSC FGD'!$B$2</f>
        <v>Texas Tech University Health Sciences Center</v>
      </c>
      <c r="C334" s="180"/>
      <c r="D334" s="559">
        <f>'TTUHSC FGD'!$D$37</f>
        <v>0</v>
      </c>
      <c r="E334" s="559">
        <f>'TTUHSC FGD'!$E$37</f>
        <v>0</v>
      </c>
      <c r="F334" s="559">
        <f>'TTUHSC FGD'!$F$37</f>
        <v>0</v>
      </c>
      <c r="G334" s="559">
        <f>'TTUHSC FGD'!$G$37</f>
        <v>0</v>
      </c>
      <c r="H334" s="559">
        <f>'TTUHSC FGD'!$H$37</f>
        <v>0</v>
      </c>
      <c r="I334" s="559">
        <f>'TTUHSC FGD'!$I$37</f>
        <v>0</v>
      </c>
      <c r="J334" s="559">
        <f>'TTUHSC FGD'!$J$37</f>
        <v>0</v>
      </c>
      <c r="K334" s="559">
        <f>'TTUHSC FGD'!$K$37</f>
        <v>0</v>
      </c>
      <c r="L334" s="559">
        <f>'TTUHSC FGD'!$L$37</f>
        <v>0</v>
      </c>
      <c r="M334" s="543">
        <f>'TTUHSC FGD'!$M$37</f>
        <v>0</v>
      </c>
    </row>
    <row r="335" spans="1:13" s="50" customFormat="1" hidden="1" outlineLevel="1">
      <c r="A335" s="293"/>
      <c r="B335" s="392" t="str">
        <f>'TTUHSCEP FGD'!$B$2</f>
        <v>Texas Tech University Health Sciences Center at El Paso</v>
      </c>
      <c r="C335" s="180"/>
      <c r="D335" s="559">
        <f>'TTUHSCEP FGD'!$D$37</f>
        <v>0</v>
      </c>
      <c r="E335" s="559">
        <f>'TTUHSCEP FGD'!$E$37</f>
        <v>0</v>
      </c>
      <c r="F335" s="559">
        <f>'TTUHSCEP FGD'!$F$37</f>
        <v>0</v>
      </c>
      <c r="G335" s="559">
        <f>'TTUHSCEP FGD'!$G$37</f>
        <v>0</v>
      </c>
      <c r="H335" s="559">
        <f>'TTUHSCEP FGD'!$H$37</f>
        <v>0</v>
      </c>
      <c r="I335" s="559">
        <f>'TTUHSCEP FGD'!$I$37</f>
        <v>0</v>
      </c>
      <c r="J335" s="559">
        <f>'TTUHSCEP FGD'!$J$37</f>
        <v>0</v>
      </c>
      <c r="K335" s="559">
        <f>'TTUHSCEP FGD'!$K$37</f>
        <v>0</v>
      </c>
      <c r="L335" s="559">
        <f>'TTUHSCEP FGD'!$L$37</f>
        <v>0</v>
      </c>
      <c r="M335" s="543">
        <f>'TTUHSCEP FGD'!$M$37</f>
        <v>0</v>
      </c>
    </row>
    <row r="336" spans="1:13" s="50" customFormat="1" hidden="1" outlineLevel="1">
      <c r="A336" s="293"/>
      <c r="B336" s="392" t="str">
        <f>'UNTHSC FGD'!$B$2</f>
        <v>University of North Texas Health Science Center at Fort Worth</v>
      </c>
      <c r="C336" s="180"/>
      <c r="D336" s="559">
        <f>'UNTHSC FGD'!$D$37</f>
        <v>0</v>
      </c>
      <c r="E336" s="559">
        <f>'UNTHSC FGD'!$E$37</f>
        <v>0</v>
      </c>
      <c r="F336" s="559">
        <f>'UNTHSC FGD'!$F$37</f>
        <v>0</v>
      </c>
      <c r="G336" s="559">
        <f>'UNTHSC FGD'!$G$37</f>
        <v>0</v>
      </c>
      <c r="H336" s="559">
        <f>'UNTHSC FGD'!$H$37</f>
        <v>0</v>
      </c>
      <c r="I336" s="559">
        <f>'UNTHSC FGD'!$I$37</f>
        <v>0</v>
      </c>
      <c r="J336" s="559">
        <f>'UNTHSC FGD'!$J$37</f>
        <v>0</v>
      </c>
      <c r="K336" s="559">
        <f>'UNTHSC FGD'!$K$37</f>
        <v>0</v>
      </c>
      <c r="L336" s="559">
        <f>'UNTHSC FGD'!$L$37</f>
        <v>0</v>
      </c>
      <c r="M336" s="543">
        <f>'UNTHSC FGD'!$M$37</f>
        <v>0</v>
      </c>
    </row>
    <row r="337" spans="1:13" s="50" customFormat="1" collapsed="1">
      <c r="A337" s="293"/>
      <c r="B337" s="51" t="s">
        <v>643</v>
      </c>
      <c r="C337" s="180"/>
      <c r="D337" s="355">
        <f t="shared" ref="D337:M337" si="24">SUM(D325:D336)</f>
        <v>0</v>
      </c>
      <c r="E337" s="355">
        <f t="shared" si="24"/>
        <v>0</v>
      </c>
      <c r="F337" s="355">
        <f t="shared" si="24"/>
        <v>0</v>
      </c>
      <c r="G337" s="355">
        <f t="shared" si="24"/>
        <v>0</v>
      </c>
      <c r="H337" s="355">
        <f t="shared" si="24"/>
        <v>0</v>
      </c>
      <c r="I337" s="355">
        <f t="shared" si="24"/>
        <v>0</v>
      </c>
      <c r="J337" s="355">
        <f t="shared" si="24"/>
        <v>0</v>
      </c>
      <c r="K337" s="355">
        <f t="shared" si="24"/>
        <v>0</v>
      </c>
      <c r="L337" s="355">
        <f t="shared" si="24"/>
        <v>0</v>
      </c>
      <c r="M337" s="543">
        <f t="shared" si="24"/>
        <v>0</v>
      </c>
    </row>
    <row r="338" spans="1:13" s="50" customFormat="1" hidden="1" outlineLevel="1">
      <c r="A338" s="293"/>
      <c r="B338" s="392" t="str">
        <f>'AUSM FGD'!$B$2</f>
        <v>The University of Texas at Austin Medical School (M)</v>
      </c>
      <c r="C338" s="180"/>
      <c r="D338" s="355">
        <f>'AUSM FGD'!$D$38</f>
        <v>0</v>
      </c>
      <c r="E338" s="355">
        <f>'AUSM FGD'!$E$38</f>
        <v>0</v>
      </c>
      <c r="F338" s="355">
        <f>'AUSM FGD'!$F$38</f>
        <v>0</v>
      </c>
      <c r="G338" s="355">
        <f>'AUSM FGD'!$G$38</f>
        <v>0</v>
      </c>
      <c r="H338" s="355">
        <f>'AUSM FGD'!$H$38</f>
        <v>0</v>
      </c>
      <c r="I338" s="355">
        <f>'AUSM FGD'!$I$38</f>
        <v>0</v>
      </c>
      <c r="J338" s="355">
        <f>'AUSM FGD'!$J$38</f>
        <v>0</v>
      </c>
      <c r="K338" s="355">
        <f>'AUSM FGD'!$K$38</f>
        <v>0</v>
      </c>
      <c r="L338" s="355">
        <f>'AUSM FGD'!$L$38</f>
        <v>0</v>
      </c>
      <c r="M338" s="543">
        <f>'AUSM FGD'!$M$38</f>
        <v>0</v>
      </c>
    </row>
    <row r="339" spans="1:13" s="50" customFormat="1" hidden="1" outlineLevel="1">
      <c r="A339" s="293"/>
      <c r="B339" s="392" t="str">
        <f>'HSH FGD'!$B$2</f>
        <v>The University of Texas Health Science Center at Houston</v>
      </c>
      <c r="C339" s="180"/>
      <c r="D339" s="355">
        <f>'HSH FGD'!$D$38</f>
        <v>0</v>
      </c>
      <c r="E339" s="355">
        <f>'HSH FGD'!$E$38</f>
        <v>0</v>
      </c>
      <c r="F339" s="355">
        <f>'HSH FGD'!$F$38</f>
        <v>0</v>
      </c>
      <c r="G339" s="355">
        <f>'HSH FGD'!$G$38</f>
        <v>0</v>
      </c>
      <c r="H339" s="355">
        <f>'HSH FGD'!$H$38</f>
        <v>0</v>
      </c>
      <c r="I339" s="355">
        <f>'HSH FGD'!$I$38</f>
        <v>0</v>
      </c>
      <c r="J339" s="355">
        <f>'HSH FGD'!$J$38</f>
        <v>0</v>
      </c>
      <c r="K339" s="355">
        <f>'HSH FGD'!$K$38</f>
        <v>0</v>
      </c>
      <c r="L339" s="355">
        <f>'HSH FGD'!$L$38</f>
        <v>0</v>
      </c>
      <c r="M339" s="543">
        <f>'HSH FGD'!$M$38</f>
        <v>0</v>
      </c>
    </row>
    <row r="340" spans="1:13" s="50" customFormat="1" hidden="1" outlineLevel="1">
      <c r="A340" s="293"/>
      <c r="B340" s="392" t="str">
        <f>'HSSA FGD'!$B$2</f>
        <v>The University of Texas Health Science Center at San Antonio</v>
      </c>
      <c r="C340" s="180"/>
      <c r="D340" s="355">
        <f>'HSSA FGD'!$D$38</f>
        <v>0</v>
      </c>
      <c r="E340" s="355">
        <f>'HSSA FGD'!$E$38</f>
        <v>0</v>
      </c>
      <c r="F340" s="355">
        <f>'HSSA FGD'!$F$38</f>
        <v>0</v>
      </c>
      <c r="G340" s="355">
        <f>'HSSA FGD'!$G$38</f>
        <v>0</v>
      </c>
      <c r="H340" s="355">
        <f>'HSSA FGD'!$H$38</f>
        <v>0</v>
      </c>
      <c r="I340" s="355">
        <f>'HSSA FGD'!$I$38</f>
        <v>0</v>
      </c>
      <c r="J340" s="355">
        <f>'HSSA FGD'!$J$38</f>
        <v>0</v>
      </c>
      <c r="K340" s="355">
        <f>'HSSA FGD'!$K$38</f>
        <v>0</v>
      </c>
      <c r="L340" s="355">
        <f>'HSSA FGD'!$L$38</f>
        <v>0</v>
      </c>
      <c r="M340" s="543">
        <f>'HSSA FGD'!$M$38</f>
        <v>0</v>
      </c>
    </row>
    <row r="341" spans="1:13" s="50" customFormat="1" hidden="1" outlineLevel="1">
      <c r="A341" s="293"/>
      <c r="B341" s="392" t="str">
        <f>'MBG FGD'!$B$2</f>
        <v>The University of Texas Medical Branch at Galveston</v>
      </c>
      <c r="C341" s="180"/>
      <c r="D341" s="355">
        <f>'MBG FGD'!$D$38</f>
        <v>0</v>
      </c>
      <c r="E341" s="355">
        <f>'MBG FGD'!$E$38</f>
        <v>0</v>
      </c>
      <c r="F341" s="355">
        <f>'MBG FGD'!$F$38</f>
        <v>0</v>
      </c>
      <c r="G341" s="355">
        <f>'MBG FGD'!$G$38</f>
        <v>0</v>
      </c>
      <c r="H341" s="355">
        <f>'MBG FGD'!$H$38</f>
        <v>0</v>
      </c>
      <c r="I341" s="355">
        <f>'MBG FGD'!$I$38</f>
        <v>0</v>
      </c>
      <c r="J341" s="355">
        <f>'MBG FGD'!$J$38</f>
        <v>0</v>
      </c>
      <c r="K341" s="355">
        <f>'MBG FGD'!$K$38</f>
        <v>0</v>
      </c>
      <c r="L341" s="355">
        <f>'MBG FGD'!$L$38</f>
        <v>0</v>
      </c>
      <c r="M341" s="543">
        <f>'MBG FGD'!$M$38</f>
        <v>0</v>
      </c>
    </row>
    <row r="342" spans="1:13" s="50" customFormat="1" hidden="1" outlineLevel="1">
      <c r="A342" s="293"/>
      <c r="B342" s="392" t="str">
        <f>'MDA FGD'!$B$2</f>
        <v>The University of Texas M.D. Anderson Cancer Center</v>
      </c>
      <c r="C342" s="180"/>
      <c r="D342" s="355">
        <f>'MDA FGD'!$D$38</f>
        <v>0</v>
      </c>
      <c r="E342" s="355">
        <f>'MDA FGD'!$E$38</f>
        <v>0</v>
      </c>
      <c r="F342" s="355">
        <f>'MDA FGD'!$F$38</f>
        <v>0</v>
      </c>
      <c r="G342" s="355">
        <f>'MDA FGD'!$G$38</f>
        <v>0</v>
      </c>
      <c r="H342" s="355">
        <f>'MDA FGD'!$H$38</f>
        <v>0</v>
      </c>
      <c r="I342" s="355">
        <f>'MDA FGD'!$I$38</f>
        <v>0</v>
      </c>
      <c r="J342" s="355">
        <f>'MDA FGD'!$J$38</f>
        <v>0</v>
      </c>
      <c r="K342" s="355">
        <f>'MDA FGD'!$K$38</f>
        <v>0</v>
      </c>
      <c r="L342" s="355">
        <f>'MDA FGD'!$L$38</f>
        <v>0</v>
      </c>
      <c r="M342" s="543">
        <f>'MDA FGD'!$M$38</f>
        <v>0</v>
      </c>
    </row>
    <row r="343" spans="1:13" s="50" customFormat="1" hidden="1" outlineLevel="1">
      <c r="A343" s="293"/>
      <c r="B343" s="392" t="str">
        <f>'RGVM FGD'!$B$2</f>
        <v>The University of Texas Rio Grande Valley Medical School (M)</v>
      </c>
      <c r="C343" s="180"/>
      <c r="D343" s="355">
        <f>'RGVM FGD'!$D$38</f>
        <v>0</v>
      </c>
      <c r="E343" s="355">
        <f>'RGVM FGD'!$E$38</f>
        <v>0</v>
      </c>
      <c r="F343" s="355">
        <f>'RGVM FGD'!$F$38</f>
        <v>0</v>
      </c>
      <c r="G343" s="355">
        <f>'RGVM FGD'!$G$38</f>
        <v>0</v>
      </c>
      <c r="H343" s="355">
        <f>'RGVM FGD'!$H$38</f>
        <v>0</v>
      </c>
      <c r="I343" s="355">
        <f>'RGVM FGD'!$I$38</f>
        <v>0</v>
      </c>
      <c r="J343" s="355">
        <f>'RGVM FGD'!$J$38</f>
        <v>0</v>
      </c>
      <c r="K343" s="355">
        <f>'RGVM FGD'!$K$38</f>
        <v>0</v>
      </c>
      <c r="L343" s="355">
        <f>'RGVM FGD'!$L$38</f>
        <v>0</v>
      </c>
      <c r="M343" s="543">
        <f>'RGVM FGD'!$M$38</f>
        <v>0</v>
      </c>
    </row>
    <row r="344" spans="1:13" s="50" customFormat="1" hidden="1" outlineLevel="1">
      <c r="A344" s="293"/>
      <c r="B344" s="392" t="str">
        <f>'SWM FGD'!$B$2</f>
        <v>The University of Texas Southwestern Medical Center</v>
      </c>
      <c r="C344" s="180"/>
      <c r="D344" s="355">
        <f>'SWM FGD'!$D$38</f>
        <v>0</v>
      </c>
      <c r="E344" s="355">
        <f>'SWM FGD'!$E$38</f>
        <v>0</v>
      </c>
      <c r="F344" s="355">
        <f>'SWM FGD'!$F$38</f>
        <v>0</v>
      </c>
      <c r="G344" s="355">
        <f>'SWM FGD'!$G$38</f>
        <v>0</v>
      </c>
      <c r="H344" s="355">
        <f>'SWM FGD'!$H$38</f>
        <v>0</v>
      </c>
      <c r="I344" s="355">
        <f>'SWM FGD'!$I$38</f>
        <v>0</v>
      </c>
      <c r="J344" s="355">
        <f>'SWM FGD'!$J$38</f>
        <v>0</v>
      </c>
      <c r="K344" s="355">
        <f>'SWM FGD'!$K$38</f>
        <v>0</v>
      </c>
      <c r="L344" s="355">
        <f>'SWM FGD'!$L$38</f>
        <v>0</v>
      </c>
      <c r="M344" s="543">
        <f>'SWM FGD'!$M$38</f>
        <v>0</v>
      </c>
    </row>
    <row r="345" spans="1:13" s="50" customFormat="1" hidden="1" outlineLevel="1">
      <c r="A345" s="293"/>
      <c r="B345" s="392" t="str">
        <f>'TAMHSC FGD'!$B$2</f>
        <v>Texas A&amp;M University System Health Science Center</v>
      </c>
      <c r="C345" s="180"/>
      <c r="D345" s="355">
        <f>'TAMHSC FGD'!$D$38</f>
        <v>0</v>
      </c>
      <c r="E345" s="355">
        <f>'TAMHSC FGD'!$E$38</f>
        <v>0</v>
      </c>
      <c r="F345" s="355">
        <f>'TAMHSC FGD'!$F$38</f>
        <v>0</v>
      </c>
      <c r="G345" s="355">
        <f>'TAMHSC FGD'!$G$38</f>
        <v>0</v>
      </c>
      <c r="H345" s="355">
        <f>'TAMHSC FGD'!$H$38</f>
        <v>0</v>
      </c>
      <c r="I345" s="355">
        <f>'TAMHSC FGD'!$I$38</f>
        <v>0</v>
      </c>
      <c r="J345" s="355">
        <f>'TAMHSC FGD'!$J$38</f>
        <v>0</v>
      </c>
      <c r="K345" s="355">
        <f>'TAMHSC FGD'!$K$38</f>
        <v>0</v>
      </c>
      <c r="L345" s="355">
        <f>'TAMHSC FGD'!$L$38</f>
        <v>0</v>
      </c>
      <c r="M345" s="543">
        <f>'TAMHSC FGD'!$M$38</f>
        <v>0</v>
      </c>
    </row>
    <row r="346" spans="1:13" s="50" customFormat="1" hidden="1" outlineLevel="1">
      <c r="A346" s="293"/>
      <c r="B346" s="392" t="str">
        <f>'THC FGD'!$B$2</f>
        <v>The University of Texas Health Science Center at Tyler</v>
      </c>
      <c r="C346" s="180"/>
      <c r="D346" s="355">
        <f>'THC FGD'!$D$38</f>
        <v>0</v>
      </c>
      <c r="E346" s="355">
        <f>'THC FGD'!$E$38</f>
        <v>0</v>
      </c>
      <c r="F346" s="355">
        <f>'THC FGD'!$F$38</f>
        <v>0</v>
      </c>
      <c r="G346" s="355">
        <f>'THC FGD'!$G$38</f>
        <v>0</v>
      </c>
      <c r="H346" s="355">
        <f>'THC FGD'!$H$38</f>
        <v>0</v>
      </c>
      <c r="I346" s="355">
        <f>'THC FGD'!$I$38</f>
        <v>0</v>
      </c>
      <c r="J346" s="355">
        <f>'THC FGD'!$J$38</f>
        <v>0</v>
      </c>
      <c r="K346" s="355">
        <f>'THC FGD'!$K$38</f>
        <v>0</v>
      </c>
      <c r="L346" s="355">
        <f>'THC FGD'!$L$38</f>
        <v>0</v>
      </c>
      <c r="M346" s="543">
        <f>'THC FGD'!$M$38</f>
        <v>0</v>
      </c>
    </row>
    <row r="347" spans="1:13" s="50" customFormat="1" hidden="1" outlineLevel="1">
      <c r="A347" s="293"/>
      <c r="B347" s="392" t="str">
        <f>'TTUHSC FGD'!$B$2</f>
        <v>Texas Tech University Health Sciences Center</v>
      </c>
      <c r="C347" s="180"/>
      <c r="D347" s="355">
        <f>'TTUHSC FGD'!$D$38</f>
        <v>0</v>
      </c>
      <c r="E347" s="355">
        <f>'TTUHSC FGD'!$E$38</f>
        <v>0</v>
      </c>
      <c r="F347" s="355">
        <f>'TTUHSC FGD'!$F$38</f>
        <v>0</v>
      </c>
      <c r="G347" s="355">
        <f>'TTUHSC FGD'!$G$38</f>
        <v>0</v>
      </c>
      <c r="H347" s="355">
        <f>'TTUHSC FGD'!$H$38</f>
        <v>0</v>
      </c>
      <c r="I347" s="355">
        <f>'TTUHSC FGD'!$I$38</f>
        <v>0</v>
      </c>
      <c r="J347" s="355">
        <f>'TTUHSC FGD'!$J$38</f>
        <v>0</v>
      </c>
      <c r="K347" s="355">
        <f>'TTUHSC FGD'!$K$38</f>
        <v>0</v>
      </c>
      <c r="L347" s="355">
        <f>'TTUHSC FGD'!$L$38</f>
        <v>0</v>
      </c>
      <c r="M347" s="543">
        <f>'TTUHSC FGD'!$M$38</f>
        <v>0</v>
      </c>
    </row>
    <row r="348" spans="1:13" s="50" customFormat="1" hidden="1" outlineLevel="1">
      <c r="A348" s="293"/>
      <c r="B348" s="392" t="str">
        <f>'TTUHSCEP FGD'!$B$2</f>
        <v>Texas Tech University Health Sciences Center at El Paso</v>
      </c>
      <c r="C348" s="180"/>
      <c r="D348" s="355">
        <f>'TTUHSCEP FGD'!$D$38</f>
        <v>0</v>
      </c>
      <c r="E348" s="355">
        <f>'TTUHSCEP FGD'!$E$38</f>
        <v>0</v>
      </c>
      <c r="F348" s="355">
        <f>'TTUHSCEP FGD'!$F$38</f>
        <v>0</v>
      </c>
      <c r="G348" s="355">
        <f>'TTUHSCEP FGD'!$G$38</f>
        <v>0</v>
      </c>
      <c r="H348" s="355">
        <f>'TTUHSCEP FGD'!$H$38</f>
        <v>0</v>
      </c>
      <c r="I348" s="355">
        <f>'TTUHSCEP FGD'!$I$38</f>
        <v>0</v>
      </c>
      <c r="J348" s="355">
        <f>'TTUHSCEP FGD'!$J$38</f>
        <v>0</v>
      </c>
      <c r="K348" s="355">
        <f>'TTUHSCEP FGD'!$K$38</f>
        <v>0</v>
      </c>
      <c r="L348" s="355">
        <f>'TTUHSCEP FGD'!$L$38</f>
        <v>0</v>
      </c>
      <c r="M348" s="543">
        <f>'TTUHSCEP FGD'!$M$38</f>
        <v>0</v>
      </c>
    </row>
    <row r="349" spans="1:13" s="50" customFormat="1" hidden="1" outlineLevel="1">
      <c r="A349" s="293"/>
      <c r="B349" s="392" t="str">
        <f>'UNTHSC FGD'!$B$2</f>
        <v>University of North Texas Health Science Center at Fort Worth</v>
      </c>
      <c r="C349" s="180"/>
      <c r="D349" s="355">
        <f>'UNTHSC FGD'!$D$38</f>
        <v>0</v>
      </c>
      <c r="E349" s="355">
        <f>'UNTHSC FGD'!$E$38</f>
        <v>0</v>
      </c>
      <c r="F349" s="355">
        <f>'UNTHSC FGD'!$F$38</f>
        <v>0</v>
      </c>
      <c r="G349" s="355">
        <f>'UNTHSC FGD'!$G$38</f>
        <v>0</v>
      </c>
      <c r="H349" s="355">
        <f>'UNTHSC FGD'!$H$38</f>
        <v>0</v>
      </c>
      <c r="I349" s="355">
        <f>'UNTHSC FGD'!$I$38</f>
        <v>0</v>
      </c>
      <c r="J349" s="355">
        <f>'UNTHSC FGD'!$J$38</f>
        <v>0</v>
      </c>
      <c r="K349" s="355">
        <f>'UNTHSC FGD'!$K$38</f>
        <v>0</v>
      </c>
      <c r="L349" s="355">
        <f>'UNTHSC FGD'!$L$38</f>
        <v>0</v>
      </c>
      <c r="M349" s="543">
        <f>'UNTHSC FGD'!$M$38</f>
        <v>0</v>
      </c>
    </row>
    <row r="350" spans="1:13" s="50" customFormat="1" collapsed="1">
      <c r="A350" s="293"/>
      <c r="B350" s="51" t="s">
        <v>644</v>
      </c>
      <c r="C350" s="180"/>
      <c r="D350" s="355">
        <f t="shared" ref="D350:M350" si="25">SUM(D338:D349)</f>
        <v>0</v>
      </c>
      <c r="E350" s="355">
        <f t="shared" si="25"/>
        <v>0</v>
      </c>
      <c r="F350" s="355">
        <f t="shared" si="25"/>
        <v>0</v>
      </c>
      <c r="G350" s="355">
        <f t="shared" si="25"/>
        <v>0</v>
      </c>
      <c r="H350" s="355">
        <f t="shared" si="25"/>
        <v>0</v>
      </c>
      <c r="I350" s="355">
        <f t="shared" si="25"/>
        <v>0</v>
      </c>
      <c r="J350" s="355">
        <f t="shared" si="25"/>
        <v>0</v>
      </c>
      <c r="K350" s="355">
        <f t="shared" si="25"/>
        <v>0</v>
      </c>
      <c r="L350" s="355">
        <f t="shared" si="25"/>
        <v>0</v>
      </c>
      <c r="M350" s="543">
        <f t="shared" si="25"/>
        <v>0</v>
      </c>
    </row>
    <row r="351" spans="1:13" s="50" customFormat="1" hidden="1" outlineLevel="1">
      <c r="A351" s="293"/>
      <c r="B351" s="392" t="str">
        <f>'AUSM FGD'!$B$2</f>
        <v>The University of Texas at Austin Medical School (M)</v>
      </c>
      <c r="C351" s="180"/>
      <c r="D351" s="355">
        <f>'AUSM FGD'!$D$39</f>
        <v>0</v>
      </c>
      <c r="E351" s="355">
        <f>'AUSM FGD'!$E$39</f>
        <v>0</v>
      </c>
      <c r="F351" s="355">
        <f>'AUSM FGD'!$F$39</f>
        <v>0</v>
      </c>
      <c r="G351" s="355">
        <f>'AUSM FGD'!$G$39</f>
        <v>0</v>
      </c>
      <c r="H351" s="355">
        <f>'AUSM FGD'!$H$39</f>
        <v>0</v>
      </c>
      <c r="I351" s="355">
        <f>'AUSM FGD'!$I$39</f>
        <v>0</v>
      </c>
      <c r="J351" s="355">
        <f>'AUSM FGD'!$J$39</f>
        <v>0</v>
      </c>
      <c r="K351" s="355">
        <f>'AUSM FGD'!$K$39</f>
        <v>0</v>
      </c>
      <c r="L351" s="355">
        <f>'AUSM FGD'!$L$39</f>
        <v>0</v>
      </c>
      <c r="M351" s="543">
        <f>'AUSM FGD'!$M$39</f>
        <v>0</v>
      </c>
    </row>
    <row r="352" spans="1:13" s="50" customFormat="1" hidden="1" outlineLevel="1">
      <c r="A352" s="293"/>
      <c r="B352" s="392" t="str">
        <f>'HSH FGD'!$B$2</f>
        <v>The University of Texas Health Science Center at Houston</v>
      </c>
      <c r="C352" s="180"/>
      <c r="D352" s="355">
        <f>'HSH FGD'!$D$39</f>
        <v>0</v>
      </c>
      <c r="E352" s="355">
        <f>'HSH FGD'!$E$39</f>
        <v>-218502</v>
      </c>
      <c r="F352" s="355">
        <f>'HSH FGD'!$F$39</f>
        <v>-11928</v>
      </c>
      <c r="G352" s="355">
        <f>'HSH FGD'!$G$39</f>
        <v>0</v>
      </c>
      <c r="H352" s="355">
        <f>'HSH FGD'!$H$39</f>
        <v>0</v>
      </c>
      <c r="I352" s="355">
        <f>'HSH FGD'!$I$39</f>
        <v>0</v>
      </c>
      <c r="J352" s="355">
        <f>'HSH FGD'!$J$39</f>
        <v>0</v>
      </c>
      <c r="K352" s="355">
        <f>'HSH FGD'!$K$39</f>
        <v>0</v>
      </c>
      <c r="L352" s="355">
        <f>'HSH FGD'!$L$39</f>
        <v>0</v>
      </c>
      <c r="M352" s="543">
        <f>'HSH FGD'!$M$39</f>
        <v>-230430</v>
      </c>
    </row>
    <row r="353" spans="1:13" s="50" customFormat="1" hidden="1" outlineLevel="1">
      <c r="A353" s="293"/>
      <c r="B353" s="392" t="str">
        <f>'HSSA FGD'!$B$2</f>
        <v>The University of Texas Health Science Center at San Antonio</v>
      </c>
      <c r="C353" s="180"/>
      <c r="D353" s="355">
        <f>'HSSA FGD'!$D$39</f>
        <v>-132224</v>
      </c>
      <c r="E353" s="355">
        <f>'HSSA FGD'!$E$39</f>
        <v>0</v>
      </c>
      <c r="F353" s="355">
        <f>'HSSA FGD'!$F$39</f>
        <v>0</v>
      </c>
      <c r="G353" s="355">
        <f>'HSSA FGD'!$G$39</f>
        <v>0</v>
      </c>
      <c r="H353" s="355">
        <f>'HSSA FGD'!$H$39</f>
        <v>0</v>
      </c>
      <c r="I353" s="355">
        <f>'HSSA FGD'!$I$39</f>
        <v>0</v>
      </c>
      <c r="J353" s="355">
        <f>'HSSA FGD'!$J$39</f>
        <v>0</v>
      </c>
      <c r="K353" s="355">
        <f>'HSSA FGD'!$K$39</f>
        <v>0</v>
      </c>
      <c r="L353" s="355">
        <f>'HSSA FGD'!$L$39</f>
        <v>0</v>
      </c>
      <c r="M353" s="543">
        <f>'HSSA FGD'!$M$39</f>
        <v>-132224</v>
      </c>
    </row>
    <row r="354" spans="1:13" s="50" customFormat="1" hidden="1" outlineLevel="1">
      <c r="A354" s="293"/>
      <c r="B354" s="392" t="str">
        <f>'MBG FGD'!$B$2</f>
        <v>The University of Texas Medical Branch at Galveston</v>
      </c>
      <c r="C354" s="180"/>
      <c r="D354" s="355">
        <f>'MBG FGD'!$D$39</f>
        <v>0</v>
      </c>
      <c r="E354" s="355">
        <f>'MBG FGD'!$E$39</f>
        <v>0</v>
      </c>
      <c r="F354" s="355">
        <f>'MBG FGD'!$F$39</f>
        <v>0</v>
      </c>
      <c r="G354" s="355">
        <f>'MBG FGD'!$G$39</f>
        <v>0</v>
      </c>
      <c r="H354" s="355">
        <f>'MBG FGD'!$H$39</f>
        <v>0</v>
      </c>
      <c r="I354" s="355">
        <f>'MBG FGD'!$I$39</f>
        <v>0</v>
      </c>
      <c r="J354" s="355">
        <f>'MBG FGD'!$J$39</f>
        <v>0</v>
      </c>
      <c r="K354" s="355">
        <f>'MBG FGD'!$K$39</f>
        <v>0</v>
      </c>
      <c r="L354" s="355">
        <f>'MBG FGD'!$L$39</f>
        <v>0</v>
      </c>
      <c r="M354" s="543">
        <f>'MBG FGD'!$M$39</f>
        <v>0</v>
      </c>
    </row>
    <row r="355" spans="1:13" s="50" customFormat="1" hidden="1" outlineLevel="1">
      <c r="A355" s="293"/>
      <c r="B355" s="392" t="str">
        <f>'MDA FGD'!$B$2</f>
        <v>The University of Texas M.D. Anderson Cancer Center</v>
      </c>
      <c r="C355" s="180"/>
      <c r="D355" s="355">
        <f>'MDA FGD'!$D$39</f>
        <v>0</v>
      </c>
      <c r="E355" s="355">
        <f>'MDA FGD'!$E$39</f>
        <v>0</v>
      </c>
      <c r="F355" s="355">
        <f>'MDA FGD'!$F$39</f>
        <v>0</v>
      </c>
      <c r="G355" s="355">
        <f>'MDA FGD'!$G$39</f>
        <v>0</v>
      </c>
      <c r="H355" s="355">
        <f>'MDA FGD'!$H$39</f>
        <v>0</v>
      </c>
      <c r="I355" s="355">
        <f>'MDA FGD'!$I$39</f>
        <v>0</v>
      </c>
      <c r="J355" s="355">
        <f>'MDA FGD'!$J$39</f>
        <v>0</v>
      </c>
      <c r="K355" s="355">
        <f>'MDA FGD'!$K$39</f>
        <v>0</v>
      </c>
      <c r="L355" s="355">
        <f>'MDA FGD'!$L$39</f>
        <v>0</v>
      </c>
      <c r="M355" s="543">
        <f>'MDA FGD'!$M$39</f>
        <v>0</v>
      </c>
    </row>
    <row r="356" spans="1:13" s="50" customFormat="1" hidden="1" outlineLevel="1">
      <c r="A356" s="293"/>
      <c r="B356" s="392" t="str">
        <f>'RGVM FGD'!$B$2</f>
        <v>The University of Texas Rio Grande Valley Medical School (M)</v>
      </c>
      <c r="C356" s="180"/>
      <c r="D356" s="355">
        <f>'RGVM FGD'!$D$39</f>
        <v>0</v>
      </c>
      <c r="E356" s="355">
        <f>'RGVM FGD'!$E$39</f>
        <v>0</v>
      </c>
      <c r="F356" s="355">
        <f>'RGVM FGD'!$F$39</f>
        <v>0</v>
      </c>
      <c r="G356" s="355">
        <f>'RGVM FGD'!$G$39</f>
        <v>0</v>
      </c>
      <c r="H356" s="355">
        <f>'RGVM FGD'!$H$39</f>
        <v>0</v>
      </c>
      <c r="I356" s="355">
        <f>'RGVM FGD'!$I$39</f>
        <v>0</v>
      </c>
      <c r="J356" s="355">
        <f>'RGVM FGD'!$J$39</f>
        <v>0</v>
      </c>
      <c r="K356" s="355">
        <f>'RGVM FGD'!$K$39</f>
        <v>0</v>
      </c>
      <c r="L356" s="355">
        <f>'RGVM FGD'!$L$39</f>
        <v>0</v>
      </c>
      <c r="M356" s="543">
        <f>'RGVM FGD'!$M$39</f>
        <v>0</v>
      </c>
    </row>
    <row r="357" spans="1:13" s="50" customFormat="1" hidden="1" outlineLevel="1">
      <c r="A357" s="293"/>
      <c r="B357" s="392" t="str">
        <f>'SWM FGD'!$B$2</f>
        <v>The University of Texas Southwestern Medical Center</v>
      </c>
      <c r="C357" s="180"/>
      <c r="D357" s="355">
        <f>'SWM FGD'!$D$39</f>
        <v>0</v>
      </c>
      <c r="E357" s="355">
        <f>'SWM FGD'!$E$39</f>
        <v>0</v>
      </c>
      <c r="F357" s="355">
        <f>'SWM FGD'!$F$39</f>
        <v>0</v>
      </c>
      <c r="G357" s="355">
        <f>'SWM FGD'!$G$39</f>
        <v>0</v>
      </c>
      <c r="H357" s="355">
        <f>'SWM FGD'!$H$39</f>
        <v>0</v>
      </c>
      <c r="I357" s="355">
        <f>'SWM FGD'!$I$39</f>
        <v>0</v>
      </c>
      <c r="J357" s="355">
        <f>'SWM FGD'!$J$39</f>
        <v>0</v>
      </c>
      <c r="K357" s="355">
        <f>'SWM FGD'!$K$39</f>
        <v>0</v>
      </c>
      <c r="L357" s="355">
        <f>'SWM FGD'!$L$39</f>
        <v>0</v>
      </c>
      <c r="M357" s="543">
        <f>'SWM FGD'!$M$39</f>
        <v>0</v>
      </c>
    </row>
    <row r="358" spans="1:13" s="50" customFormat="1" hidden="1" outlineLevel="1">
      <c r="A358" s="293"/>
      <c r="B358" s="392" t="str">
        <f>'TAMHSC FGD'!$B$2</f>
        <v>Texas A&amp;M University System Health Science Center</v>
      </c>
      <c r="C358" s="180"/>
      <c r="D358" s="355">
        <f>'TAMHSC FGD'!$D$39</f>
        <v>-924</v>
      </c>
      <c r="E358" s="355">
        <f>'TAMHSC FGD'!$E$39</f>
        <v>-245628</v>
      </c>
      <c r="F358" s="355">
        <f>'TAMHSC FGD'!$F$39</f>
        <v>-25435</v>
      </c>
      <c r="G358" s="355">
        <f>'TAMHSC FGD'!$G$39</f>
        <v>0</v>
      </c>
      <c r="H358" s="355">
        <f>'TAMHSC FGD'!$H$39</f>
        <v>0</v>
      </c>
      <c r="I358" s="355">
        <f>'TAMHSC FGD'!$I$39</f>
        <v>0</v>
      </c>
      <c r="J358" s="355">
        <f>'TAMHSC FGD'!$J$39</f>
        <v>0</v>
      </c>
      <c r="K358" s="355">
        <f>'TAMHSC FGD'!$K$39</f>
        <v>0</v>
      </c>
      <c r="L358" s="355">
        <f>'TAMHSC FGD'!$L$39</f>
        <v>0</v>
      </c>
      <c r="M358" s="543">
        <f>'TAMHSC FGD'!$M$39</f>
        <v>-271987</v>
      </c>
    </row>
    <row r="359" spans="1:13" s="50" customFormat="1" hidden="1" outlineLevel="1">
      <c r="A359" s="293"/>
      <c r="B359" s="392" t="str">
        <f>'THC FGD'!$B$2</f>
        <v>The University of Texas Health Science Center at Tyler</v>
      </c>
      <c r="C359" s="180"/>
      <c r="D359" s="355">
        <f>'THC FGD'!$D$39</f>
        <v>0</v>
      </c>
      <c r="E359" s="355">
        <f>'THC FGD'!$E$39</f>
        <v>0</v>
      </c>
      <c r="F359" s="355">
        <f>'THC FGD'!$F$39</f>
        <v>0</v>
      </c>
      <c r="G359" s="355">
        <f>'THC FGD'!$G$39</f>
        <v>0</v>
      </c>
      <c r="H359" s="355">
        <f>'THC FGD'!$H$39</f>
        <v>0</v>
      </c>
      <c r="I359" s="355">
        <f>'THC FGD'!$I$39</f>
        <v>0</v>
      </c>
      <c r="J359" s="355">
        <f>'THC FGD'!$J$39</f>
        <v>0</v>
      </c>
      <c r="K359" s="355">
        <f>'THC FGD'!$K$39</f>
        <v>0</v>
      </c>
      <c r="L359" s="355">
        <f>'THC FGD'!$L$39</f>
        <v>0</v>
      </c>
      <c r="M359" s="543">
        <f>'THC FGD'!$M$39</f>
        <v>0</v>
      </c>
    </row>
    <row r="360" spans="1:13" s="50" customFormat="1" hidden="1" outlineLevel="1">
      <c r="A360" s="293"/>
      <c r="B360" s="392" t="str">
        <f>'TTUHSC FGD'!$B$2</f>
        <v>Texas Tech University Health Sciences Center</v>
      </c>
      <c r="C360" s="180"/>
      <c r="D360" s="355">
        <f>'TTUHSC FGD'!$D$39</f>
        <v>0</v>
      </c>
      <c r="E360" s="355">
        <f>'TTUHSC FGD'!$E$39</f>
        <v>-978275</v>
      </c>
      <c r="F360" s="355">
        <f>'TTUHSC FGD'!$F$39</f>
        <v>0</v>
      </c>
      <c r="G360" s="355">
        <f>'TTUHSC FGD'!$G$39</f>
        <v>0</v>
      </c>
      <c r="H360" s="355">
        <f>'TTUHSC FGD'!$H$39</f>
        <v>0</v>
      </c>
      <c r="I360" s="355">
        <f>'TTUHSC FGD'!$I$39</f>
        <v>0</v>
      </c>
      <c r="J360" s="355">
        <f>'TTUHSC FGD'!$J$39</f>
        <v>0</v>
      </c>
      <c r="K360" s="355">
        <f>'TTUHSC FGD'!$K$39</f>
        <v>0</v>
      </c>
      <c r="L360" s="355">
        <f>'TTUHSC FGD'!$L$39</f>
        <v>0</v>
      </c>
      <c r="M360" s="543">
        <f>'TTUHSC FGD'!$M$39</f>
        <v>-978275</v>
      </c>
    </row>
    <row r="361" spans="1:13" s="50" customFormat="1" hidden="1" outlineLevel="1">
      <c r="A361" s="293"/>
      <c r="B361" s="392" t="str">
        <f>'TTUHSCEP FGD'!$B$2</f>
        <v>Texas Tech University Health Sciences Center at El Paso</v>
      </c>
      <c r="C361" s="180"/>
      <c r="D361" s="355">
        <f>'TTUHSCEP FGD'!$D$39</f>
        <v>0</v>
      </c>
      <c r="E361" s="355">
        <f>'TTUHSCEP FGD'!$E$39</f>
        <v>-193977</v>
      </c>
      <c r="F361" s="355">
        <f>'TTUHSCEP FGD'!$F$39</f>
        <v>0</v>
      </c>
      <c r="G361" s="355">
        <f>'TTUHSCEP FGD'!$G$39</f>
        <v>0</v>
      </c>
      <c r="H361" s="355">
        <f>'TTUHSCEP FGD'!$H$39</f>
        <v>0</v>
      </c>
      <c r="I361" s="355">
        <f>'TTUHSCEP FGD'!$I$39</f>
        <v>0</v>
      </c>
      <c r="J361" s="355">
        <f>'TTUHSCEP FGD'!$J$39</f>
        <v>0</v>
      </c>
      <c r="K361" s="355">
        <f>'TTUHSCEP FGD'!$K$39</f>
        <v>0</v>
      </c>
      <c r="L361" s="355">
        <f>'TTUHSCEP FGD'!$L$39</f>
        <v>0</v>
      </c>
      <c r="M361" s="543">
        <f>'TTUHSCEP FGD'!$M$39</f>
        <v>-193977</v>
      </c>
    </row>
    <row r="362" spans="1:13" s="50" customFormat="1" hidden="1" outlineLevel="1">
      <c r="A362" s="293"/>
      <c r="B362" s="392" t="str">
        <f>'UNTHSC FGD'!$B$2</f>
        <v>University of North Texas Health Science Center at Fort Worth</v>
      </c>
      <c r="C362" s="180"/>
      <c r="D362" s="355">
        <f>'UNTHSC FGD'!$D$39</f>
        <v>0</v>
      </c>
      <c r="E362" s="355">
        <f>'UNTHSC FGD'!$E$39</f>
        <v>0</v>
      </c>
      <c r="F362" s="355">
        <f>'UNTHSC FGD'!$F$39</f>
        <v>0</v>
      </c>
      <c r="G362" s="355">
        <f>'UNTHSC FGD'!$G$39</f>
        <v>0</v>
      </c>
      <c r="H362" s="355">
        <f>'UNTHSC FGD'!$H$39</f>
        <v>0</v>
      </c>
      <c r="I362" s="355">
        <f>'UNTHSC FGD'!$I$39</f>
        <v>0</v>
      </c>
      <c r="J362" s="355">
        <f>'UNTHSC FGD'!$J$39</f>
        <v>0</v>
      </c>
      <c r="K362" s="355">
        <f>'UNTHSC FGD'!$K$39</f>
        <v>0</v>
      </c>
      <c r="L362" s="355">
        <f>'UNTHSC FGD'!$L$39</f>
        <v>0</v>
      </c>
      <c r="M362" s="543">
        <f>'UNTHSC FGD'!$M$39</f>
        <v>0</v>
      </c>
    </row>
    <row r="363" spans="1:13" s="50" customFormat="1" collapsed="1">
      <c r="A363" s="293"/>
      <c r="B363" s="51" t="s">
        <v>645</v>
      </c>
      <c r="C363" s="180"/>
      <c r="D363" s="355">
        <f t="shared" ref="D363:M363" si="26">SUM(D351:D362)</f>
        <v>-133148</v>
      </c>
      <c r="E363" s="355">
        <f t="shared" si="26"/>
        <v>-1636382</v>
      </c>
      <c r="F363" s="355">
        <f t="shared" si="26"/>
        <v>-37363</v>
      </c>
      <c r="G363" s="355">
        <f t="shared" si="26"/>
        <v>0</v>
      </c>
      <c r="H363" s="355">
        <f t="shared" si="26"/>
        <v>0</v>
      </c>
      <c r="I363" s="355">
        <f t="shared" si="26"/>
        <v>0</v>
      </c>
      <c r="J363" s="355">
        <f t="shared" si="26"/>
        <v>0</v>
      </c>
      <c r="K363" s="355">
        <f t="shared" si="26"/>
        <v>0</v>
      </c>
      <c r="L363" s="355">
        <f t="shared" si="26"/>
        <v>0</v>
      </c>
      <c r="M363" s="543">
        <f t="shared" si="26"/>
        <v>-1806893</v>
      </c>
    </row>
    <row r="364" spans="1:13" s="50" customFormat="1" hidden="1" outlineLevel="1">
      <c r="A364" s="293"/>
      <c r="B364" s="392" t="str">
        <f>'AUSM FGD'!$B$2</f>
        <v>The University of Texas at Austin Medical School (M)</v>
      </c>
      <c r="C364" s="180"/>
      <c r="D364" s="355">
        <f>'AUSM FGD'!$D$40</f>
        <v>0</v>
      </c>
      <c r="E364" s="355">
        <f>'AUSM FGD'!$E$40</f>
        <v>0</v>
      </c>
      <c r="F364" s="355">
        <f>'AUSM FGD'!$F$40</f>
        <v>0</v>
      </c>
      <c r="G364" s="355">
        <f>'AUSM FGD'!$G$40</f>
        <v>0</v>
      </c>
      <c r="H364" s="355">
        <f>'AUSM FGD'!$H$40</f>
        <v>0</v>
      </c>
      <c r="I364" s="355">
        <f>'AUSM FGD'!$I$40</f>
        <v>0</v>
      </c>
      <c r="J364" s="355">
        <f>'AUSM FGD'!$J$40</f>
        <v>0</v>
      </c>
      <c r="K364" s="355">
        <f>'AUSM FGD'!$K$40</f>
        <v>0</v>
      </c>
      <c r="L364" s="355">
        <f>'AUSM FGD'!$L$40</f>
        <v>0</v>
      </c>
      <c r="M364" s="543">
        <f>'AUSM FGD'!$M$40</f>
        <v>0</v>
      </c>
    </row>
    <row r="365" spans="1:13" s="50" customFormat="1" hidden="1" outlineLevel="1">
      <c r="A365" s="293"/>
      <c r="B365" s="392" t="str">
        <f>'HSH FGD'!$B$2</f>
        <v>The University of Texas Health Science Center at Houston</v>
      </c>
      <c r="C365" s="180"/>
      <c r="D365" s="355">
        <f>'HSH FGD'!$D$40</f>
        <v>0</v>
      </c>
      <c r="E365" s="355">
        <f>'HSH FGD'!$E$40</f>
        <v>0</v>
      </c>
      <c r="F365" s="355">
        <f>'HSH FGD'!$F$40</f>
        <v>0</v>
      </c>
      <c r="G365" s="355">
        <f>'HSH FGD'!$G$40</f>
        <v>0</v>
      </c>
      <c r="H365" s="355">
        <f>'HSH FGD'!$H$40</f>
        <v>0</v>
      </c>
      <c r="I365" s="355">
        <f>'HSH FGD'!$I$40</f>
        <v>0</v>
      </c>
      <c r="J365" s="355">
        <f>'HSH FGD'!$J$40</f>
        <v>0</v>
      </c>
      <c r="K365" s="355">
        <f>'HSH FGD'!$K$40</f>
        <v>0</v>
      </c>
      <c r="L365" s="355">
        <f>'HSH FGD'!$L$40</f>
        <v>0</v>
      </c>
      <c r="M365" s="543">
        <f>'HSH FGD'!$M$40</f>
        <v>0</v>
      </c>
    </row>
    <row r="366" spans="1:13" s="50" customFormat="1" hidden="1" outlineLevel="1">
      <c r="A366" s="293"/>
      <c r="B366" s="392" t="str">
        <f>'HSSA FGD'!$B$2</f>
        <v>The University of Texas Health Science Center at San Antonio</v>
      </c>
      <c r="C366" s="180"/>
      <c r="D366" s="355">
        <f>'HSSA FGD'!$D$40</f>
        <v>0</v>
      </c>
      <c r="E366" s="355">
        <f>'HSSA FGD'!$E$40</f>
        <v>0</v>
      </c>
      <c r="F366" s="355">
        <f>'HSSA FGD'!$F$40</f>
        <v>0</v>
      </c>
      <c r="G366" s="355">
        <f>'HSSA FGD'!$G$40</f>
        <v>0</v>
      </c>
      <c r="H366" s="355">
        <f>'HSSA FGD'!$H$40</f>
        <v>0</v>
      </c>
      <c r="I366" s="355">
        <f>'HSSA FGD'!$I$40</f>
        <v>0</v>
      </c>
      <c r="J366" s="355">
        <f>'HSSA FGD'!$J$40</f>
        <v>0</v>
      </c>
      <c r="K366" s="355">
        <f>'HSSA FGD'!$K$40</f>
        <v>0</v>
      </c>
      <c r="L366" s="355">
        <f>'HSSA FGD'!$L$40</f>
        <v>0</v>
      </c>
      <c r="M366" s="543">
        <f>'HSSA FGD'!$M$40</f>
        <v>0</v>
      </c>
    </row>
    <row r="367" spans="1:13" s="50" customFormat="1" hidden="1" outlineLevel="1">
      <c r="A367" s="293"/>
      <c r="B367" s="392" t="str">
        <f>'MBG FGD'!$B$2</f>
        <v>The University of Texas Medical Branch at Galveston</v>
      </c>
      <c r="C367" s="180"/>
      <c r="D367" s="355">
        <f>'MBG FGD'!$D$40</f>
        <v>0</v>
      </c>
      <c r="E367" s="355">
        <f>'MBG FGD'!$E$40</f>
        <v>0</v>
      </c>
      <c r="F367" s="355">
        <f>'MBG FGD'!$F$40</f>
        <v>0</v>
      </c>
      <c r="G367" s="355">
        <f>'MBG FGD'!$G$40</f>
        <v>0</v>
      </c>
      <c r="H367" s="355">
        <f>'MBG FGD'!$H$40</f>
        <v>0</v>
      </c>
      <c r="I367" s="355">
        <f>'MBG FGD'!$I$40</f>
        <v>0</v>
      </c>
      <c r="J367" s="355">
        <f>'MBG FGD'!$J$40</f>
        <v>0</v>
      </c>
      <c r="K367" s="355">
        <f>'MBG FGD'!$K$40</f>
        <v>0</v>
      </c>
      <c r="L367" s="355">
        <f>'MBG FGD'!$L$40</f>
        <v>0</v>
      </c>
      <c r="M367" s="543">
        <f>'MBG FGD'!$M$40</f>
        <v>0</v>
      </c>
    </row>
    <row r="368" spans="1:13" s="50" customFormat="1" hidden="1" outlineLevel="1">
      <c r="A368" s="293"/>
      <c r="B368" s="392" t="str">
        <f>'MDA FGD'!$B$2</f>
        <v>The University of Texas M.D. Anderson Cancer Center</v>
      </c>
      <c r="C368" s="180"/>
      <c r="D368" s="355">
        <f>'MDA FGD'!$D$40</f>
        <v>0</v>
      </c>
      <c r="E368" s="355">
        <f>'MDA FGD'!$E$40</f>
        <v>-2573</v>
      </c>
      <c r="F368" s="355">
        <f>'MDA FGD'!$F$40</f>
        <v>0</v>
      </c>
      <c r="G368" s="355">
        <f>'MDA FGD'!$G$40</f>
        <v>0</v>
      </c>
      <c r="H368" s="355">
        <f>'MDA FGD'!$H$40</f>
        <v>0</v>
      </c>
      <c r="I368" s="355">
        <f>'MDA FGD'!$I$40</f>
        <v>0</v>
      </c>
      <c r="J368" s="355">
        <f>'MDA FGD'!$J$40</f>
        <v>0</v>
      </c>
      <c r="K368" s="355">
        <f>'MDA FGD'!$K$40</f>
        <v>0</v>
      </c>
      <c r="L368" s="355">
        <f>'MDA FGD'!$L$40</f>
        <v>0</v>
      </c>
      <c r="M368" s="543">
        <f>'MDA FGD'!$M$40</f>
        <v>-2573</v>
      </c>
    </row>
    <row r="369" spans="1:13" s="50" customFormat="1" hidden="1" outlineLevel="1">
      <c r="A369" s="293"/>
      <c r="B369" s="392" t="str">
        <f>'RGVM FGD'!$B$2</f>
        <v>The University of Texas Rio Grande Valley Medical School (M)</v>
      </c>
      <c r="C369" s="180"/>
      <c r="D369" s="355">
        <f>'RGVM FGD'!$D$40</f>
        <v>0</v>
      </c>
      <c r="E369" s="355">
        <f>'RGVM FGD'!$E$40</f>
        <v>0</v>
      </c>
      <c r="F369" s="355">
        <f>'RGVM FGD'!$F$40</f>
        <v>0</v>
      </c>
      <c r="G369" s="355">
        <f>'RGVM FGD'!$G$40</f>
        <v>0</v>
      </c>
      <c r="H369" s="355">
        <f>'RGVM FGD'!$H$40</f>
        <v>0</v>
      </c>
      <c r="I369" s="355">
        <f>'RGVM FGD'!$I$40</f>
        <v>0</v>
      </c>
      <c r="J369" s="355">
        <f>'RGVM FGD'!$J$40</f>
        <v>0</v>
      </c>
      <c r="K369" s="355">
        <f>'RGVM FGD'!$K$40</f>
        <v>0</v>
      </c>
      <c r="L369" s="355">
        <f>'RGVM FGD'!$L$40</f>
        <v>0</v>
      </c>
      <c r="M369" s="543">
        <f>'RGVM FGD'!$M$40</f>
        <v>0</v>
      </c>
    </row>
    <row r="370" spans="1:13" s="50" customFormat="1" hidden="1" outlineLevel="1">
      <c r="A370" s="293"/>
      <c r="B370" s="392" t="str">
        <f>'SWM FGD'!$B$2</f>
        <v>The University of Texas Southwestern Medical Center</v>
      </c>
      <c r="C370" s="180"/>
      <c r="D370" s="355">
        <f>'SWM FGD'!$D$40</f>
        <v>0</v>
      </c>
      <c r="E370" s="355">
        <f>'SWM FGD'!$E$40</f>
        <v>0</v>
      </c>
      <c r="F370" s="355">
        <f>'SWM FGD'!$F$40</f>
        <v>0</v>
      </c>
      <c r="G370" s="355">
        <f>'SWM FGD'!$G$40</f>
        <v>0</v>
      </c>
      <c r="H370" s="355">
        <f>'SWM FGD'!$H$40</f>
        <v>0</v>
      </c>
      <c r="I370" s="355">
        <f>'SWM FGD'!$I$40</f>
        <v>0</v>
      </c>
      <c r="J370" s="355">
        <f>'SWM FGD'!$J$40</f>
        <v>0</v>
      </c>
      <c r="K370" s="355">
        <f>'SWM FGD'!$K$40</f>
        <v>0</v>
      </c>
      <c r="L370" s="355">
        <f>'SWM FGD'!$L$40</f>
        <v>0</v>
      </c>
      <c r="M370" s="543">
        <f>'SWM FGD'!$M$40</f>
        <v>0</v>
      </c>
    </row>
    <row r="371" spans="1:13" s="50" customFormat="1" hidden="1" outlineLevel="1">
      <c r="A371" s="293"/>
      <c r="B371" s="392" t="str">
        <f>'TAMHSC FGD'!$B$2</f>
        <v>Texas A&amp;M University System Health Science Center</v>
      </c>
      <c r="C371" s="180"/>
      <c r="D371" s="355">
        <f>'TAMHSC FGD'!$D$40</f>
        <v>0</v>
      </c>
      <c r="E371" s="355">
        <f>'TAMHSC FGD'!$E$40</f>
        <v>0</v>
      </c>
      <c r="F371" s="355">
        <f>'TAMHSC FGD'!$F$40</f>
        <v>0</v>
      </c>
      <c r="G371" s="355">
        <f>'TAMHSC FGD'!$G$40</f>
        <v>0</v>
      </c>
      <c r="H371" s="355">
        <f>'TAMHSC FGD'!$H$40</f>
        <v>0</v>
      </c>
      <c r="I371" s="355">
        <f>'TAMHSC FGD'!$I$40</f>
        <v>0</v>
      </c>
      <c r="J371" s="355">
        <f>'TAMHSC FGD'!$J$40</f>
        <v>0</v>
      </c>
      <c r="K371" s="355">
        <f>'TAMHSC FGD'!$K$40</f>
        <v>0</v>
      </c>
      <c r="L371" s="355">
        <f>'TAMHSC FGD'!$L$40</f>
        <v>0</v>
      </c>
      <c r="M371" s="543">
        <f>'TAMHSC FGD'!$M$40</f>
        <v>0</v>
      </c>
    </row>
    <row r="372" spans="1:13" s="50" customFormat="1" hidden="1" outlineLevel="1">
      <c r="A372" s="293"/>
      <c r="B372" s="392" t="str">
        <f>'THC FGD'!$B$2</f>
        <v>The University of Texas Health Science Center at Tyler</v>
      </c>
      <c r="C372" s="180"/>
      <c r="D372" s="355">
        <f>'THC FGD'!$D$40</f>
        <v>0</v>
      </c>
      <c r="E372" s="355">
        <f>'THC FGD'!$E$40</f>
        <v>0</v>
      </c>
      <c r="F372" s="355">
        <f>'THC FGD'!$F$40</f>
        <v>0</v>
      </c>
      <c r="G372" s="355">
        <f>'THC FGD'!$G$40</f>
        <v>0</v>
      </c>
      <c r="H372" s="355">
        <f>'THC FGD'!$H$40</f>
        <v>0</v>
      </c>
      <c r="I372" s="355">
        <f>'THC FGD'!$I$40</f>
        <v>0</v>
      </c>
      <c r="J372" s="355">
        <f>'THC FGD'!$J$40</f>
        <v>0</v>
      </c>
      <c r="K372" s="355">
        <f>'THC FGD'!$K$40</f>
        <v>0</v>
      </c>
      <c r="L372" s="355">
        <f>'THC FGD'!$L$40</f>
        <v>0</v>
      </c>
      <c r="M372" s="543">
        <f>'THC FGD'!$M$40</f>
        <v>0</v>
      </c>
    </row>
    <row r="373" spans="1:13" s="50" customFormat="1" hidden="1" outlineLevel="1">
      <c r="A373" s="293"/>
      <c r="B373" s="392" t="str">
        <f>'TTUHSC FGD'!$B$2</f>
        <v>Texas Tech University Health Sciences Center</v>
      </c>
      <c r="C373" s="180"/>
      <c r="D373" s="355">
        <f>'TTUHSC FGD'!$D$40</f>
        <v>0</v>
      </c>
      <c r="E373" s="355">
        <f>'TTUHSC FGD'!$E$40</f>
        <v>0</v>
      </c>
      <c r="F373" s="355">
        <f>'TTUHSC FGD'!$F$40</f>
        <v>0</v>
      </c>
      <c r="G373" s="355">
        <f>'TTUHSC FGD'!$G$40</f>
        <v>0</v>
      </c>
      <c r="H373" s="355">
        <f>'TTUHSC FGD'!$H$40</f>
        <v>0</v>
      </c>
      <c r="I373" s="355">
        <f>'TTUHSC FGD'!$I$40</f>
        <v>0</v>
      </c>
      <c r="J373" s="355">
        <f>'TTUHSC FGD'!$J$40</f>
        <v>0</v>
      </c>
      <c r="K373" s="355">
        <f>'TTUHSC FGD'!$K$40</f>
        <v>0</v>
      </c>
      <c r="L373" s="355">
        <f>'TTUHSC FGD'!$L$40</f>
        <v>0</v>
      </c>
      <c r="M373" s="543">
        <f>'TTUHSC FGD'!$M$40</f>
        <v>0</v>
      </c>
    </row>
    <row r="374" spans="1:13" s="50" customFormat="1" hidden="1" outlineLevel="1">
      <c r="A374" s="293"/>
      <c r="B374" s="392" t="str">
        <f>'TTUHSCEP FGD'!$B$2</f>
        <v>Texas Tech University Health Sciences Center at El Paso</v>
      </c>
      <c r="C374" s="180"/>
      <c r="D374" s="355">
        <f>'TTUHSCEP FGD'!$D$40</f>
        <v>0</v>
      </c>
      <c r="E374" s="355">
        <f>'TTUHSCEP FGD'!$E$40</f>
        <v>0</v>
      </c>
      <c r="F374" s="355">
        <f>'TTUHSCEP FGD'!$F$40</f>
        <v>0</v>
      </c>
      <c r="G374" s="355">
        <f>'TTUHSCEP FGD'!$G$40</f>
        <v>0</v>
      </c>
      <c r="H374" s="355">
        <f>'TTUHSCEP FGD'!$H$40</f>
        <v>0</v>
      </c>
      <c r="I374" s="355">
        <f>'TTUHSCEP FGD'!$I$40</f>
        <v>0</v>
      </c>
      <c r="J374" s="355">
        <f>'TTUHSCEP FGD'!$J$40</f>
        <v>0</v>
      </c>
      <c r="K374" s="355">
        <f>'TTUHSCEP FGD'!$K$40</f>
        <v>0</v>
      </c>
      <c r="L374" s="355">
        <f>'TTUHSCEP FGD'!$L$40</f>
        <v>0</v>
      </c>
      <c r="M374" s="543">
        <f>'TTUHSCEP FGD'!$M$40</f>
        <v>0</v>
      </c>
    </row>
    <row r="375" spans="1:13" s="50" customFormat="1" hidden="1" outlineLevel="1">
      <c r="A375" s="293"/>
      <c r="B375" s="392" t="str">
        <f>'UNTHSC FGD'!$B$2</f>
        <v>University of North Texas Health Science Center at Fort Worth</v>
      </c>
      <c r="C375" s="180"/>
      <c r="D375" s="355">
        <f>'UNTHSC FGD'!$D$40</f>
        <v>0</v>
      </c>
      <c r="E375" s="355">
        <f>'UNTHSC FGD'!$E$40</f>
        <v>0</v>
      </c>
      <c r="F375" s="355">
        <f>'UNTHSC FGD'!$F$40</f>
        <v>0</v>
      </c>
      <c r="G375" s="355">
        <f>'UNTHSC FGD'!$G$40</f>
        <v>0</v>
      </c>
      <c r="H375" s="355">
        <f>'UNTHSC FGD'!$H$40</f>
        <v>0</v>
      </c>
      <c r="I375" s="355">
        <f>'UNTHSC FGD'!$I$40</f>
        <v>0</v>
      </c>
      <c r="J375" s="355">
        <f>'UNTHSC FGD'!$J$40</f>
        <v>0</v>
      </c>
      <c r="K375" s="355">
        <f>'UNTHSC FGD'!$K$40</f>
        <v>0</v>
      </c>
      <c r="L375" s="355">
        <f>'UNTHSC FGD'!$L$40</f>
        <v>0</v>
      </c>
      <c r="M375" s="543">
        <f>'UNTHSC FGD'!$M$40</f>
        <v>0</v>
      </c>
    </row>
    <row r="376" spans="1:13" s="50" customFormat="1" collapsed="1">
      <c r="A376" s="293"/>
      <c r="B376" s="51" t="s">
        <v>646</v>
      </c>
      <c r="C376" s="180"/>
      <c r="D376" s="355">
        <f t="shared" ref="D376:M376" si="27">SUM(D364:D375)</f>
        <v>0</v>
      </c>
      <c r="E376" s="355">
        <f t="shared" si="27"/>
        <v>-2573</v>
      </c>
      <c r="F376" s="355">
        <f t="shared" si="27"/>
        <v>0</v>
      </c>
      <c r="G376" s="355">
        <f t="shared" si="27"/>
        <v>0</v>
      </c>
      <c r="H376" s="355">
        <f t="shared" si="27"/>
        <v>0</v>
      </c>
      <c r="I376" s="355">
        <f t="shared" si="27"/>
        <v>0</v>
      </c>
      <c r="J376" s="355">
        <f t="shared" si="27"/>
        <v>0</v>
      </c>
      <c r="K376" s="355">
        <f t="shared" si="27"/>
        <v>0</v>
      </c>
      <c r="L376" s="355">
        <f t="shared" si="27"/>
        <v>0</v>
      </c>
      <c r="M376" s="543">
        <f t="shared" si="27"/>
        <v>-2573</v>
      </c>
    </row>
    <row r="377" spans="1:13" s="50" customFormat="1" hidden="1" outlineLevel="1">
      <c r="A377" s="293"/>
      <c r="B377" s="392" t="str">
        <f>'AUSM FGD'!$B$2</f>
        <v>The University of Texas at Austin Medical School (M)</v>
      </c>
      <c r="C377" s="180"/>
      <c r="D377" s="355">
        <f>'AUSM FGD'!$D$41</f>
        <v>0</v>
      </c>
      <c r="E377" s="355">
        <f>'AUSM FGD'!$E$41</f>
        <v>-126472</v>
      </c>
      <c r="F377" s="355">
        <f>'AUSM FGD'!$F$41</f>
        <v>0</v>
      </c>
      <c r="G377" s="355">
        <f>'AUSM FGD'!$G$41</f>
        <v>0</v>
      </c>
      <c r="H377" s="355">
        <f>'AUSM FGD'!$H$41</f>
        <v>0</v>
      </c>
      <c r="I377" s="355">
        <f>'AUSM FGD'!$I$41</f>
        <v>0</v>
      </c>
      <c r="J377" s="355">
        <f>'AUSM FGD'!$J$41</f>
        <v>0</v>
      </c>
      <c r="K377" s="355">
        <f>'AUSM FGD'!$K$41</f>
        <v>0</v>
      </c>
      <c r="L377" s="355">
        <f>'AUSM FGD'!$L$41</f>
        <v>0</v>
      </c>
      <c r="M377" s="543">
        <f>'AUSM FGD'!$M$41</f>
        <v>-126472</v>
      </c>
    </row>
    <row r="378" spans="1:13" s="50" customFormat="1" hidden="1" outlineLevel="1">
      <c r="A378" s="293"/>
      <c r="B378" s="392" t="str">
        <f>'HSH FGD'!$B$2</f>
        <v>The University of Texas Health Science Center at Houston</v>
      </c>
      <c r="C378" s="180"/>
      <c r="D378" s="355">
        <f>'HSH FGD'!$D$41</f>
        <v>0</v>
      </c>
      <c r="E378" s="355">
        <f>'HSH FGD'!$E$41</f>
        <v>0</v>
      </c>
      <c r="F378" s="355">
        <f>'HSH FGD'!$F$41</f>
        <v>-50563</v>
      </c>
      <c r="G378" s="355">
        <f>'HSH FGD'!$G$41</f>
        <v>0</v>
      </c>
      <c r="H378" s="355">
        <f>'HSH FGD'!$H$41</f>
        <v>0</v>
      </c>
      <c r="I378" s="355">
        <f>'HSH FGD'!$I$41</f>
        <v>0</v>
      </c>
      <c r="J378" s="355">
        <f>'HSH FGD'!$J$41</f>
        <v>0</v>
      </c>
      <c r="K378" s="355">
        <f>'HSH FGD'!$K$41</f>
        <v>0</v>
      </c>
      <c r="L378" s="355">
        <f>'HSH FGD'!$L$41</f>
        <v>0</v>
      </c>
      <c r="M378" s="543">
        <f>'HSH FGD'!$M$41</f>
        <v>-50563</v>
      </c>
    </row>
    <row r="379" spans="1:13" s="50" customFormat="1" hidden="1" outlineLevel="1">
      <c r="A379" s="293"/>
      <c r="B379" s="392" t="str">
        <f>'HSSA FGD'!$B$2</f>
        <v>The University of Texas Health Science Center at San Antonio</v>
      </c>
      <c r="C379" s="180"/>
      <c r="D379" s="355">
        <f>'HSSA FGD'!$D$41</f>
        <v>-342918</v>
      </c>
      <c r="E379" s="355">
        <f>'HSSA FGD'!$E$41</f>
        <v>0</v>
      </c>
      <c r="F379" s="355">
        <f>'HSSA FGD'!$F$41</f>
        <v>0</v>
      </c>
      <c r="G379" s="355">
        <f>'HSSA FGD'!$G$41</f>
        <v>0</v>
      </c>
      <c r="H379" s="355">
        <f>'HSSA FGD'!$H$41</f>
        <v>0</v>
      </c>
      <c r="I379" s="355">
        <f>'HSSA FGD'!$I$41</f>
        <v>0</v>
      </c>
      <c r="J379" s="355">
        <f>'HSSA FGD'!$J$41</f>
        <v>0</v>
      </c>
      <c r="K379" s="355">
        <f>'HSSA FGD'!$K$41</f>
        <v>0</v>
      </c>
      <c r="L379" s="355">
        <f>'HSSA FGD'!$L$41</f>
        <v>0</v>
      </c>
      <c r="M379" s="543">
        <f>'HSSA FGD'!$M$41</f>
        <v>-342918</v>
      </c>
    </row>
    <row r="380" spans="1:13" s="50" customFormat="1" hidden="1" outlineLevel="1">
      <c r="A380" s="293"/>
      <c r="B380" s="392" t="str">
        <f>'MBG FGD'!$B$2</f>
        <v>The University of Texas Medical Branch at Galveston</v>
      </c>
      <c r="C380" s="180"/>
      <c r="D380" s="355">
        <f>'MBG FGD'!$D$41</f>
        <v>-33874</v>
      </c>
      <c r="E380" s="355">
        <f>'MBG FGD'!$E$41</f>
        <v>-220027</v>
      </c>
      <c r="F380" s="355">
        <f>'MBG FGD'!$F$41</f>
        <v>-7095</v>
      </c>
      <c r="G380" s="355">
        <f>'MBG FGD'!$G$41</f>
        <v>0</v>
      </c>
      <c r="H380" s="355">
        <f>'MBG FGD'!$H$41</f>
        <v>0</v>
      </c>
      <c r="I380" s="355">
        <f>'MBG FGD'!$I$41</f>
        <v>0</v>
      </c>
      <c r="J380" s="355">
        <f>'MBG FGD'!$J$41</f>
        <v>0</v>
      </c>
      <c r="K380" s="355">
        <f>'MBG FGD'!$K$41</f>
        <v>0</v>
      </c>
      <c r="L380" s="355">
        <f>'MBG FGD'!$L$41</f>
        <v>0</v>
      </c>
      <c r="M380" s="543">
        <f>'MBG FGD'!$M$41</f>
        <v>-260996</v>
      </c>
    </row>
    <row r="381" spans="1:13" s="50" customFormat="1" hidden="1" outlineLevel="1">
      <c r="A381" s="293"/>
      <c r="B381" s="392" t="str">
        <f>'MDA FGD'!$B$2</f>
        <v>The University of Texas M.D. Anderson Cancer Center</v>
      </c>
      <c r="C381" s="180"/>
      <c r="D381" s="355">
        <f>'MDA FGD'!$D$41</f>
        <v>0</v>
      </c>
      <c r="E381" s="355">
        <f>'MDA FGD'!$E$41</f>
        <v>0</v>
      </c>
      <c r="F381" s="355">
        <f>'MDA FGD'!$F$41</f>
        <v>0</v>
      </c>
      <c r="G381" s="355">
        <f>'MDA FGD'!$G$41</f>
        <v>0</v>
      </c>
      <c r="H381" s="355">
        <f>'MDA FGD'!$H$41</f>
        <v>0</v>
      </c>
      <c r="I381" s="355">
        <f>'MDA FGD'!$I$41</f>
        <v>0</v>
      </c>
      <c r="J381" s="355">
        <f>'MDA FGD'!$J$41</f>
        <v>0</v>
      </c>
      <c r="K381" s="355">
        <f>'MDA FGD'!$K$41</f>
        <v>0</v>
      </c>
      <c r="L381" s="355">
        <f>'MDA FGD'!$L$41</f>
        <v>0</v>
      </c>
      <c r="M381" s="543">
        <f>'MDA FGD'!$M$41</f>
        <v>0</v>
      </c>
    </row>
    <row r="382" spans="1:13" s="50" customFormat="1" hidden="1" outlineLevel="1">
      <c r="A382" s="293"/>
      <c r="B382" s="392" t="str">
        <f>'RGVM FGD'!$B$2</f>
        <v>The University of Texas Rio Grande Valley Medical School (M)</v>
      </c>
      <c r="C382" s="180"/>
      <c r="D382" s="355">
        <f>'RGVM FGD'!$D$41</f>
        <v>0</v>
      </c>
      <c r="E382" s="355">
        <f>'RGVM FGD'!$E$41</f>
        <v>0</v>
      </c>
      <c r="F382" s="355">
        <f>'RGVM FGD'!$F$41</f>
        <v>0</v>
      </c>
      <c r="G382" s="355">
        <f>'RGVM FGD'!$G$41</f>
        <v>0</v>
      </c>
      <c r="H382" s="355">
        <f>'RGVM FGD'!$H$41</f>
        <v>0</v>
      </c>
      <c r="I382" s="355">
        <f>'RGVM FGD'!$I$41</f>
        <v>0</v>
      </c>
      <c r="J382" s="355">
        <f>'RGVM FGD'!$J$41</f>
        <v>0</v>
      </c>
      <c r="K382" s="355">
        <f>'RGVM FGD'!$K$41</f>
        <v>0</v>
      </c>
      <c r="L382" s="355">
        <f>'RGVM FGD'!$L$41</f>
        <v>0</v>
      </c>
      <c r="M382" s="543">
        <f>'RGVM FGD'!$M$41</f>
        <v>0</v>
      </c>
    </row>
    <row r="383" spans="1:13" s="50" customFormat="1" hidden="1" outlineLevel="1">
      <c r="A383" s="293"/>
      <c r="B383" s="392" t="str">
        <f>'SWM FGD'!$B$2</f>
        <v>The University of Texas Southwestern Medical Center</v>
      </c>
      <c r="C383" s="180"/>
      <c r="D383" s="355">
        <f>'SWM FGD'!$D$41</f>
        <v>-1607</v>
      </c>
      <c r="E383" s="355">
        <f>'SWM FGD'!$E$41</f>
        <v>-23197</v>
      </c>
      <c r="F383" s="355">
        <f>'SWM FGD'!$F$41</f>
        <v>-160669</v>
      </c>
      <c r="G383" s="355">
        <f>'SWM FGD'!$G$41</f>
        <v>0</v>
      </c>
      <c r="H383" s="355">
        <f>'SWM FGD'!$H$41</f>
        <v>0</v>
      </c>
      <c r="I383" s="355">
        <f>'SWM FGD'!$I$41</f>
        <v>0</v>
      </c>
      <c r="J383" s="355">
        <f>'SWM FGD'!$J$41</f>
        <v>0</v>
      </c>
      <c r="K383" s="355">
        <f>'SWM FGD'!$K$41</f>
        <v>0</v>
      </c>
      <c r="L383" s="355">
        <f>'SWM FGD'!$L$41</f>
        <v>0</v>
      </c>
      <c r="M383" s="543">
        <f>'SWM FGD'!$M$41</f>
        <v>-185473</v>
      </c>
    </row>
    <row r="384" spans="1:13" s="50" customFormat="1" hidden="1" outlineLevel="1">
      <c r="A384" s="293"/>
      <c r="B384" s="392" t="str">
        <f>'TAMHSC FGD'!$B$2</f>
        <v>Texas A&amp;M University System Health Science Center</v>
      </c>
      <c r="C384" s="180"/>
      <c r="D384" s="355">
        <f>'TAMHSC FGD'!$D$41</f>
        <v>-5140</v>
      </c>
      <c r="E384" s="355">
        <f>'TAMHSC FGD'!$E$41</f>
        <v>-908047</v>
      </c>
      <c r="F384" s="355">
        <f>'TAMHSC FGD'!$F$41</f>
        <v>-83575</v>
      </c>
      <c r="G384" s="355">
        <f>'TAMHSC FGD'!$G$41</f>
        <v>0</v>
      </c>
      <c r="H384" s="355">
        <f>'TAMHSC FGD'!$H$41</f>
        <v>0</v>
      </c>
      <c r="I384" s="355">
        <f>'TAMHSC FGD'!$I$41</f>
        <v>0</v>
      </c>
      <c r="J384" s="355">
        <f>'TAMHSC FGD'!$J$41</f>
        <v>0</v>
      </c>
      <c r="K384" s="355">
        <f>'TAMHSC FGD'!$K$41</f>
        <v>0</v>
      </c>
      <c r="L384" s="355">
        <f>'TAMHSC FGD'!$L$41</f>
        <v>0</v>
      </c>
      <c r="M384" s="543">
        <f>'TAMHSC FGD'!$M$41</f>
        <v>-996762</v>
      </c>
    </row>
    <row r="385" spans="1:13" s="50" customFormat="1" hidden="1" outlineLevel="1">
      <c r="A385" s="293"/>
      <c r="B385" s="392" t="str">
        <f>'THC FGD'!$B$2</f>
        <v>The University of Texas Health Science Center at Tyler</v>
      </c>
      <c r="C385" s="180"/>
      <c r="D385" s="355">
        <f>'THC FGD'!$D$41</f>
        <v>0</v>
      </c>
      <c r="E385" s="355">
        <f>'THC FGD'!$E$41</f>
        <v>0</v>
      </c>
      <c r="F385" s="355">
        <f>'THC FGD'!$F$41</f>
        <v>0</v>
      </c>
      <c r="G385" s="355">
        <f>'THC FGD'!$G$41</f>
        <v>0</v>
      </c>
      <c r="H385" s="355">
        <f>'THC FGD'!$H$41</f>
        <v>0</v>
      </c>
      <c r="I385" s="355">
        <f>'THC FGD'!$I$41</f>
        <v>0</v>
      </c>
      <c r="J385" s="355">
        <f>'THC FGD'!$J$41</f>
        <v>0</v>
      </c>
      <c r="K385" s="355">
        <f>'THC FGD'!$K$41</f>
        <v>0</v>
      </c>
      <c r="L385" s="355">
        <f>'THC FGD'!$L$41</f>
        <v>0</v>
      </c>
      <c r="M385" s="543">
        <f>'THC FGD'!$M$41</f>
        <v>0</v>
      </c>
    </row>
    <row r="386" spans="1:13" s="50" customFormat="1" hidden="1" outlineLevel="1">
      <c r="A386" s="293"/>
      <c r="B386" s="392" t="str">
        <f>'TTUHSC FGD'!$B$2</f>
        <v>Texas Tech University Health Sciences Center</v>
      </c>
      <c r="C386" s="180"/>
      <c r="D386" s="355">
        <f>'TTUHSC FGD'!$D$41</f>
        <v>0</v>
      </c>
      <c r="E386" s="355">
        <f>'TTUHSC FGD'!$E$41</f>
        <v>0</v>
      </c>
      <c r="F386" s="355">
        <f>'TTUHSC FGD'!$F$41</f>
        <v>0</v>
      </c>
      <c r="G386" s="355">
        <f>'TTUHSC FGD'!$G$41</f>
        <v>0</v>
      </c>
      <c r="H386" s="355">
        <f>'TTUHSC FGD'!$H$41</f>
        <v>0</v>
      </c>
      <c r="I386" s="355">
        <f>'TTUHSC FGD'!$I$41</f>
        <v>0</v>
      </c>
      <c r="J386" s="355">
        <f>'TTUHSC FGD'!$J$41</f>
        <v>0</v>
      </c>
      <c r="K386" s="355">
        <f>'TTUHSC FGD'!$K$41</f>
        <v>0</v>
      </c>
      <c r="L386" s="355">
        <f>'TTUHSC FGD'!$L$41</f>
        <v>0</v>
      </c>
      <c r="M386" s="543">
        <f>'TTUHSC FGD'!$M$41</f>
        <v>0</v>
      </c>
    </row>
    <row r="387" spans="1:13" s="50" customFormat="1" hidden="1" outlineLevel="1">
      <c r="A387" s="293"/>
      <c r="B387" s="392" t="str">
        <f>'TTUHSCEP FGD'!$B$2</f>
        <v>Texas Tech University Health Sciences Center at El Paso</v>
      </c>
      <c r="C387" s="180"/>
      <c r="D387" s="355">
        <f>'TTUHSCEP FGD'!$D$41</f>
        <v>0</v>
      </c>
      <c r="E387" s="355">
        <f>'TTUHSCEP FGD'!$E$41</f>
        <v>0</v>
      </c>
      <c r="F387" s="355">
        <f>'TTUHSCEP FGD'!$F$41</f>
        <v>0</v>
      </c>
      <c r="G387" s="355">
        <f>'TTUHSCEP FGD'!$G$41</f>
        <v>0</v>
      </c>
      <c r="H387" s="355">
        <f>'TTUHSCEP FGD'!$H$41</f>
        <v>0</v>
      </c>
      <c r="I387" s="355">
        <f>'TTUHSCEP FGD'!$I$41</f>
        <v>0</v>
      </c>
      <c r="J387" s="355">
        <f>'TTUHSCEP FGD'!$J$41</f>
        <v>0</v>
      </c>
      <c r="K387" s="355">
        <f>'TTUHSCEP FGD'!$K$41</f>
        <v>0</v>
      </c>
      <c r="L387" s="355">
        <f>'TTUHSCEP FGD'!$L$41</f>
        <v>0</v>
      </c>
      <c r="M387" s="543">
        <f>'TTUHSCEP FGD'!$M$41</f>
        <v>0</v>
      </c>
    </row>
    <row r="388" spans="1:13" s="50" customFormat="1" hidden="1" outlineLevel="1">
      <c r="A388" s="293"/>
      <c r="B388" s="392" t="str">
        <f>'UNTHSC FGD'!$B$2</f>
        <v>University of North Texas Health Science Center at Fort Worth</v>
      </c>
      <c r="C388" s="180"/>
      <c r="D388" s="355">
        <f>'UNTHSC FGD'!$D$41</f>
        <v>0</v>
      </c>
      <c r="E388" s="355">
        <f>'UNTHSC FGD'!$E$41</f>
        <v>-423279</v>
      </c>
      <c r="F388" s="355">
        <f>'UNTHSC FGD'!$F$41</f>
        <v>0</v>
      </c>
      <c r="G388" s="355">
        <f>'UNTHSC FGD'!$G$41</f>
        <v>0</v>
      </c>
      <c r="H388" s="355">
        <f>'UNTHSC FGD'!$H$41</f>
        <v>0</v>
      </c>
      <c r="I388" s="355">
        <f>'UNTHSC FGD'!$I$41</f>
        <v>0</v>
      </c>
      <c r="J388" s="355">
        <f>'UNTHSC FGD'!$J$41</f>
        <v>0</v>
      </c>
      <c r="K388" s="355">
        <f>'UNTHSC FGD'!$K$41</f>
        <v>0</v>
      </c>
      <c r="L388" s="355">
        <f>'UNTHSC FGD'!$L$41</f>
        <v>0</v>
      </c>
      <c r="M388" s="543">
        <f>'UNTHSC FGD'!$M$41</f>
        <v>-423279</v>
      </c>
    </row>
    <row r="389" spans="1:13" s="50" customFormat="1" collapsed="1">
      <c r="A389" s="293"/>
      <c r="B389" s="51" t="s">
        <v>1361</v>
      </c>
      <c r="C389" s="180"/>
      <c r="D389" s="355">
        <f t="shared" ref="D389:M389" si="28">SUM(D377:D388)</f>
        <v>-383539</v>
      </c>
      <c r="E389" s="355">
        <f t="shared" si="28"/>
        <v>-1701022</v>
      </c>
      <c r="F389" s="355">
        <f t="shared" si="28"/>
        <v>-301902</v>
      </c>
      <c r="G389" s="355">
        <f t="shared" si="28"/>
        <v>0</v>
      </c>
      <c r="H389" s="355">
        <f t="shared" si="28"/>
        <v>0</v>
      </c>
      <c r="I389" s="355">
        <f t="shared" si="28"/>
        <v>0</v>
      </c>
      <c r="J389" s="355">
        <f t="shared" si="28"/>
        <v>0</v>
      </c>
      <c r="K389" s="355">
        <f t="shared" si="28"/>
        <v>0</v>
      </c>
      <c r="L389" s="355">
        <f t="shared" si="28"/>
        <v>0</v>
      </c>
      <c r="M389" s="543">
        <f t="shared" si="28"/>
        <v>-2386463</v>
      </c>
    </row>
    <row r="390" spans="1:13" s="50" customFormat="1" hidden="1" outlineLevel="1">
      <c r="A390" s="293"/>
      <c r="B390" s="392" t="str">
        <f>'AUSM FGD'!$B$2</f>
        <v>The University of Texas at Austin Medical School (M)</v>
      </c>
      <c r="C390" s="180"/>
      <c r="D390" s="355">
        <f>'AUSM FGD'!$D$42</f>
        <v>0</v>
      </c>
      <c r="E390" s="355">
        <f>'AUSM FGD'!$E$42</f>
        <v>447775</v>
      </c>
      <c r="F390" s="355">
        <f>'AUSM FGD'!$F$42</f>
        <v>0</v>
      </c>
      <c r="G390" s="355">
        <f>'AUSM FGD'!$G$42</f>
        <v>0</v>
      </c>
      <c r="H390" s="355">
        <f>'AUSM FGD'!$H$42</f>
        <v>0</v>
      </c>
      <c r="I390" s="355">
        <f>'AUSM FGD'!$I$42</f>
        <v>0</v>
      </c>
      <c r="J390" s="355">
        <f>'AUSM FGD'!$J$42</f>
        <v>0</v>
      </c>
      <c r="K390" s="355">
        <f>'AUSM FGD'!$K$42</f>
        <v>0</v>
      </c>
      <c r="L390" s="355">
        <f>'AUSM FGD'!$L$42</f>
        <v>0</v>
      </c>
      <c r="M390" s="543">
        <f>'AUSM FGD'!$M$42</f>
        <v>447775</v>
      </c>
    </row>
    <row r="391" spans="1:13" s="50" customFormat="1" hidden="1" outlineLevel="1">
      <c r="A391" s="293"/>
      <c r="B391" s="392" t="str">
        <f>'HSH FGD'!$B$2</f>
        <v>The University of Texas Health Science Center at Houston</v>
      </c>
      <c r="C391" s="180"/>
      <c r="D391" s="355">
        <f>'HSH FGD'!$D$42</f>
        <v>196506</v>
      </c>
      <c r="E391" s="355">
        <f>'HSH FGD'!$E$42</f>
        <v>8890682</v>
      </c>
      <c r="F391" s="355">
        <f>'HSH FGD'!$F$42</f>
        <v>2426546</v>
      </c>
      <c r="G391" s="355">
        <f>'HSH FGD'!$G$42</f>
        <v>0</v>
      </c>
      <c r="H391" s="355">
        <f>'HSH FGD'!$H$42</f>
        <v>0</v>
      </c>
      <c r="I391" s="355">
        <f>'HSH FGD'!$I$42</f>
        <v>0</v>
      </c>
      <c r="J391" s="355">
        <f>'HSH FGD'!$J$42</f>
        <v>0</v>
      </c>
      <c r="K391" s="355">
        <f>'HSH FGD'!$K$42</f>
        <v>0</v>
      </c>
      <c r="L391" s="355">
        <f>'HSH FGD'!$L$42</f>
        <v>0</v>
      </c>
      <c r="M391" s="543">
        <f>'HSH FGD'!$M$42</f>
        <v>11513734</v>
      </c>
    </row>
    <row r="392" spans="1:13" s="50" customFormat="1" hidden="1" outlineLevel="1">
      <c r="A392" s="293"/>
      <c r="B392" s="392" t="str">
        <f>'HSSA FGD'!$B$2</f>
        <v>The University of Texas Health Science Center at San Antonio</v>
      </c>
      <c r="C392" s="180"/>
      <c r="D392" s="355">
        <f>'HSSA FGD'!$D$42</f>
        <v>-475142</v>
      </c>
      <c r="E392" s="355">
        <f>'HSSA FGD'!$E$42</f>
        <v>0</v>
      </c>
      <c r="F392" s="355">
        <f>'HSSA FGD'!$F$42</f>
        <v>2815216</v>
      </c>
      <c r="G392" s="355">
        <f>'HSSA FGD'!$G$42</f>
        <v>0</v>
      </c>
      <c r="H392" s="355">
        <f>'HSSA FGD'!$H$42</f>
        <v>0</v>
      </c>
      <c r="I392" s="355">
        <f>'HSSA FGD'!$I$42</f>
        <v>0</v>
      </c>
      <c r="J392" s="355">
        <f>'HSSA FGD'!$J$42</f>
        <v>0</v>
      </c>
      <c r="K392" s="355">
        <f>'HSSA FGD'!$K$42</f>
        <v>0</v>
      </c>
      <c r="L392" s="355">
        <f>'HSSA FGD'!$L$42</f>
        <v>0</v>
      </c>
      <c r="M392" s="543">
        <f>'HSSA FGD'!$M$42</f>
        <v>2340074</v>
      </c>
    </row>
    <row r="393" spans="1:13" s="50" customFormat="1" hidden="1" outlineLevel="1">
      <c r="A393" s="293"/>
      <c r="B393" s="392" t="str">
        <f>'MBG FGD'!$B$2</f>
        <v>The University of Texas Medical Branch at Galveston</v>
      </c>
      <c r="C393" s="180"/>
      <c r="D393" s="355">
        <f>'MBG FGD'!$D$42</f>
        <v>443416</v>
      </c>
      <c r="E393" s="355">
        <f>'MBG FGD'!$E$42</f>
        <v>7301062</v>
      </c>
      <c r="F393" s="355">
        <f>'MBG FGD'!$F$42</f>
        <v>534422</v>
      </c>
      <c r="G393" s="355">
        <f>'MBG FGD'!$G$42</f>
        <v>0</v>
      </c>
      <c r="H393" s="355">
        <f>'MBG FGD'!$H$42</f>
        <v>0</v>
      </c>
      <c r="I393" s="355">
        <f>'MBG FGD'!$I$42</f>
        <v>0</v>
      </c>
      <c r="J393" s="355">
        <f>'MBG FGD'!$J$42</f>
        <v>0</v>
      </c>
      <c r="K393" s="355">
        <f>'MBG FGD'!$K$42</f>
        <v>0</v>
      </c>
      <c r="L393" s="355">
        <f>'MBG FGD'!$L$42</f>
        <v>0</v>
      </c>
      <c r="M393" s="543">
        <f>'MBG FGD'!$M$42</f>
        <v>8278900</v>
      </c>
    </row>
    <row r="394" spans="1:13" s="50" customFormat="1" hidden="1" outlineLevel="1">
      <c r="A394" s="293"/>
      <c r="B394" s="392" t="str">
        <f>'MDA FGD'!$B$2</f>
        <v>The University of Texas M.D. Anderson Cancer Center</v>
      </c>
      <c r="C394" s="180"/>
      <c r="D394" s="355">
        <f>'MDA FGD'!$D$42</f>
        <v>0</v>
      </c>
      <c r="E394" s="355">
        <f>'MDA FGD'!$E$42</f>
        <v>132149</v>
      </c>
      <c r="F394" s="355">
        <f>'MDA FGD'!$F$42</f>
        <v>0</v>
      </c>
      <c r="G394" s="355">
        <f>'MDA FGD'!$G$42</f>
        <v>0</v>
      </c>
      <c r="H394" s="355">
        <f>'MDA FGD'!$H$42</f>
        <v>0</v>
      </c>
      <c r="I394" s="355">
        <f>'MDA FGD'!$I$42</f>
        <v>0</v>
      </c>
      <c r="J394" s="355">
        <f>'MDA FGD'!$J$42</f>
        <v>0</v>
      </c>
      <c r="K394" s="355">
        <f>'MDA FGD'!$K$42</f>
        <v>0</v>
      </c>
      <c r="L394" s="355">
        <f>'MDA FGD'!$L$42</f>
        <v>0</v>
      </c>
      <c r="M394" s="543">
        <f>'MDA FGD'!$M$42</f>
        <v>132149</v>
      </c>
    </row>
    <row r="395" spans="1:13" s="50" customFormat="1" hidden="1" outlineLevel="1">
      <c r="A395" s="293"/>
      <c r="B395" s="392" t="str">
        <f>'RGVM FGD'!$B$2</f>
        <v>The University of Texas Rio Grande Valley Medical School (M)</v>
      </c>
      <c r="C395" s="180"/>
      <c r="D395" s="355">
        <f>'RGVM FGD'!$D$42</f>
        <v>6600</v>
      </c>
      <c r="E395" s="355">
        <f>'RGVM FGD'!$E$42</f>
        <v>347504</v>
      </c>
      <c r="F395" s="355">
        <f>'RGVM FGD'!$F$42</f>
        <v>99537</v>
      </c>
      <c r="G395" s="355">
        <f>'RGVM FGD'!$G$42</f>
        <v>0</v>
      </c>
      <c r="H395" s="355">
        <f>'RGVM FGD'!$H$42</f>
        <v>0</v>
      </c>
      <c r="I395" s="355">
        <f>'RGVM FGD'!$I$42</f>
        <v>0</v>
      </c>
      <c r="J395" s="355">
        <f>'RGVM FGD'!$J$42</f>
        <v>0</v>
      </c>
      <c r="K395" s="355">
        <f>'RGVM FGD'!$K$42</f>
        <v>0</v>
      </c>
      <c r="L395" s="355">
        <f>'RGVM FGD'!$L$42</f>
        <v>0</v>
      </c>
      <c r="M395" s="543">
        <f>'RGVM FGD'!$M$42</f>
        <v>453641</v>
      </c>
    </row>
    <row r="396" spans="1:13" s="50" customFormat="1" hidden="1" outlineLevel="1">
      <c r="A396" s="293"/>
      <c r="B396" s="392" t="str">
        <f>'SWM FGD'!$B$2</f>
        <v>The University of Texas Southwestern Medical Center</v>
      </c>
      <c r="C396" s="180"/>
      <c r="D396" s="355">
        <f>'SWM FGD'!$D$42</f>
        <v>48251</v>
      </c>
      <c r="E396" s="355">
        <f>'SWM FGD'!$E$42</f>
        <v>895913</v>
      </c>
      <c r="F396" s="355">
        <f>'SWM FGD'!$F$42</f>
        <v>1504770</v>
      </c>
      <c r="G396" s="355">
        <f>'SWM FGD'!$G$42</f>
        <v>0</v>
      </c>
      <c r="H396" s="355">
        <f>'SWM FGD'!$H$42</f>
        <v>0</v>
      </c>
      <c r="I396" s="355">
        <f>'SWM FGD'!$I$42</f>
        <v>0</v>
      </c>
      <c r="J396" s="355">
        <f>'SWM FGD'!$J$42</f>
        <v>0</v>
      </c>
      <c r="K396" s="355">
        <f>'SWM FGD'!$K$42</f>
        <v>0</v>
      </c>
      <c r="L396" s="355">
        <f>'SWM FGD'!$L$42</f>
        <v>0</v>
      </c>
      <c r="M396" s="543">
        <f>'SWM FGD'!$M$42</f>
        <v>2448934</v>
      </c>
    </row>
    <row r="397" spans="1:13" s="50" customFormat="1" hidden="1" outlineLevel="1">
      <c r="A397" s="293"/>
      <c r="B397" s="392" t="str">
        <f>'TAMHSC FGD'!$B$2</f>
        <v>Texas A&amp;M University System Health Science Center</v>
      </c>
      <c r="C397" s="180"/>
      <c r="D397" s="355">
        <f>'TAMHSC FGD'!$D$42</f>
        <v>61517</v>
      </c>
      <c r="E397" s="355">
        <f>'TAMHSC FGD'!$E$42</f>
        <v>11703010</v>
      </c>
      <c r="F397" s="355">
        <f>'TAMHSC FGD'!$F$42</f>
        <v>1105808</v>
      </c>
      <c r="G397" s="355">
        <f>'TAMHSC FGD'!$G$42</f>
        <v>0</v>
      </c>
      <c r="H397" s="355">
        <f>'TAMHSC FGD'!$H$42</f>
        <v>0</v>
      </c>
      <c r="I397" s="355">
        <f>'TAMHSC FGD'!$I$42</f>
        <v>0</v>
      </c>
      <c r="J397" s="355">
        <f>'TAMHSC FGD'!$J$42</f>
        <v>0</v>
      </c>
      <c r="K397" s="355">
        <f>'TAMHSC FGD'!$K$42</f>
        <v>0</v>
      </c>
      <c r="L397" s="355">
        <f>'TAMHSC FGD'!$L$42</f>
        <v>0</v>
      </c>
      <c r="M397" s="543">
        <f>'TAMHSC FGD'!$M$42</f>
        <v>12870335</v>
      </c>
    </row>
    <row r="398" spans="1:13" s="50" customFormat="1" hidden="1" outlineLevel="1">
      <c r="A398" s="293"/>
      <c r="B398" s="392" t="str">
        <f>'THC FGD'!$B$2</f>
        <v>The University of Texas Health Science Center at Tyler</v>
      </c>
      <c r="C398" s="180"/>
      <c r="D398" s="355">
        <f>'THC FGD'!$D$42</f>
        <v>990</v>
      </c>
      <c r="E398" s="355">
        <f>'THC FGD'!$E$42</f>
        <v>27937</v>
      </c>
      <c r="F398" s="355">
        <f>'THC FGD'!$F$42</f>
        <v>0</v>
      </c>
      <c r="G398" s="355">
        <f>'THC FGD'!$G$42</f>
        <v>0</v>
      </c>
      <c r="H398" s="355">
        <f>'THC FGD'!$H$42</f>
        <v>0</v>
      </c>
      <c r="I398" s="355">
        <f>'THC FGD'!$I$42</f>
        <v>0</v>
      </c>
      <c r="J398" s="355">
        <f>'THC FGD'!$J$42</f>
        <v>0</v>
      </c>
      <c r="K398" s="355">
        <f>'THC FGD'!$K$42</f>
        <v>0</v>
      </c>
      <c r="L398" s="355">
        <f>'THC FGD'!$L$42</f>
        <v>0</v>
      </c>
      <c r="M398" s="543">
        <f>'THC FGD'!$M$42</f>
        <v>28927</v>
      </c>
    </row>
    <row r="399" spans="1:13" s="50" customFormat="1" hidden="1" outlineLevel="1">
      <c r="A399" s="293"/>
      <c r="B399" s="392" t="str">
        <f>'TTUHSC FGD'!$B$2</f>
        <v>Texas Tech University Health Sciences Center</v>
      </c>
      <c r="C399" s="180"/>
      <c r="D399" s="355">
        <f>'TTUHSC FGD'!$D$42</f>
        <v>0</v>
      </c>
      <c r="E399" s="355">
        <f>'TTUHSC FGD'!$E$42</f>
        <v>13210744</v>
      </c>
      <c r="F399" s="355">
        <f>'TTUHSC FGD'!$F$42</f>
        <v>0</v>
      </c>
      <c r="G399" s="355">
        <f>'TTUHSC FGD'!$G$42</f>
        <v>0</v>
      </c>
      <c r="H399" s="355">
        <f>'TTUHSC FGD'!$H$42</f>
        <v>0</v>
      </c>
      <c r="I399" s="355">
        <f>'TTUHSC FGD'!$I$42</f>
        <v>0</v>
      </c>
      <c r="J399" s="355">
        <f>'TTUHSC FGD'!$J$42</f>
        <v>0</v>
      </c>
      <c r="K399" s="355">
        <f>'TTUHSC FGD'!$K$42</f>
        <v>0</v>
      </c>
      <c r="L399" s="355">
        <f>'TTUHSC FGD'!$L$42</f>
        <v>0</v>
      </c>
      <c r="M399" s="543">
        <f>'TTUHSC FGD'!$M$42</f>
        <v>13210744</v>
      </c>
    </row>
    <row r="400" spans="1:13" s="50" customFormat="1" hidden="1" outlineLevel="1">
      <c r="A400" s="293"/>
      <c r="B400" s="392" t="str">
        <f>'TTUHSCEP FGD'!$B$2</f>
        <v>Texas Tech University Health Sciences Center at El Paso</v>
      </c>
      <c r="C400" s="180"/>
      <c r="D400" s="355">
        <f>'TTUHSCEP FGD'!$D$42</f>
        <v>0</v>
      </c>
      <c r="E400" s="355">
        <f>'TTUHSCEP FGD'!$E$42</f>
        <v>2417654</v>
      </c>
      <c r="F400" s="355">
        <f>'TTUHSCEP FGD'!$F$42</f>
        <v>0</v>
      </c>
      <c r="G400" s="355">
        <f>'TTUHSCEP FGD'!$G$42</f>
        <v>0</v>
      </c>
      <c r="H400" s="355">
        <f>'TTUHSCEP FGD'!$H$42</f>
        <v>0</v>
      </c>
      <c r="I400" s="355">
        <f>'TTUHSCEP FGD'!$I$42</f>
        <v>0</v>
      </c>
      <c r="J400" s="355">
        <f>'TTUHSCEP FGD'!$J$42</f>
        <v>0</v>
      </c>
      <c r="K400" s="355">
        <f>'TTUHSCEP FGD'!$K$42</f>
        <v>0</v>
      </c>
      <c r="L400" s="355">
        <f>'TTUHSCEP FGD'!$L$42</f>
        <v>0</v>
      </c>
      <c r="M400" s="543">
        <f>'TTUHSCEP FGD'!$M$42</f>
        <v>2417654</v>
      </c>
    </row>
    <row r="401" spans="1:15" s="50" customFormat="1" hidden="1" outlineLevel="1">
      <c r="A401" s="293"/>
      <c r="B401" s="392" t="str">
        <f>'UNTHSC FGD'!$B$2</f>
        <v>University of North Texas Health Science Center at Fort Worth</v>
      </c>
      <c r="C401" s="180"/>
      <c r="D401" s="355">
        <f>'UNTHSC FGD'!$D$42</f>
        <v>24382</v>
      </c>
      <c r="E401" s="355">
        <f>'UNTHSC FGD'!$E$42</f>
        <v>8236294</v>
      </c>
      <c r="F401" s="355">
        <f>'UNTHSC FGD'!$F$42</f>
        <v>0</v>
      </c>
      <c r="G401" s="355">
        <f>'UNTHSC FGD'!$G$42</f>
        <v>0</v>
      </c>
      <c r="H401" s="355">
        <f>'UNTHSC FGD'!$H$42</f>
        <v>0</v>
      </c>
      <c r="I401" s="355">
        <f>'UNTHSC FGD'!$I$42</f>
        <v>0</v>
      </c>
      <c r="J401" s="355">
        <f>'UNTHSC FGD'!$J$42</f>
        <v>0</v>
      </c>
      <c r="K401" s="355">
        <f>'UNTHSC FGD'!$K$42</f>
        <v>0</v>
      </c>
      <c r="L401" s="355">
        <f>'UNTHSC FGD'!$L$42</f>
        <v>0</v>
      </c>
      <c r="M401" s="543">
        <f>'UNTHSC FGD'!$M$42</f>
        <v>8260676</v>
      </c>
    </row>
    <row r="402" spans="1:15" s="50" customFormat="1" collapsed="1">
      <c r="A402" s="293"/>
      <c r="B402" s="551" t="s">
        <v>38</v>
      </c>
      <c r="C402" s="179"/>
      <c r="D402" s="356">
        <f t="shared" ref="D402:M402" si="29">SUM(D390:D401)</f>
        <v>306520</v>
      </c>
      <c r="E402" s="356">
        <f t="shared" si="29"/>
        <v>53610724</v>
      </c>
      <c r="F402" s="356">
        <f t="shared" si="29"/>
        <v>8486299</v>
      </c>
      <c r="G402" s="356">
        <f t="shared" si="29"/>
        <v>0</v>
      </c>
      <c r="H402" s="356">
        <f t="shared" si="29"/>
        <v>0</v>
      </c>
      <c r="I402" s="356">
        <f t="shared" si="29"/>
        <v>0</v>
      </c>
      <c r="J402" s="356">
        <f t="shared" si="29"/>
        <v>0</v>
      </c>
      <c r="K402" s="356">
        <f t="shared" si="29"/>
        <v>0</v>
      </c>
      <c r="L402" s="356">
        <f t="shared" si="29"/>
        <v>0</v>
      </c>
      <c r="M402" s="356">
        <f t="shared" si="29"/>
        <v>62403543</v>
      </c>
      <c r="O402" s="293" t="str">
        <f>IF(M402&lt;&gt;M1014,"Error","OK")</f>
        <v>OK</v>
      </c>
    </row>
    <row r="403" spans="1:15" s="50" customFormat="1">
      <c r="A403" s="293"/>
      <c r="B403" s="51"/>
      <c r="C403" s="180"/>
      <c r="D403" s="180"/>
      <c r="E403" s="180"/>
      <c r="F403" s="180"/>
      <c r="G403" s="180"/>
      <c r="H403" s="180"/>
      <c r="I403" s="180"/>
      <c r="J403" s="180"/>
      <c r="K403" s="180"/>
      <c r="L403" s="180"/>
      <c r="M403" s="543"/>
    </row>
    <row r="404" spans="1:15" s="50" customFormat="1" hidden="1" outlineLevel="1">
      <c r="A404" s="293"/>
      <c r="B404" s="392" t="str">
        <f>'AUSM FGD'!$B$2</f>
        <v>The University of Texas at Austin Medical School (M)</v>
      </c>
      <c r="C404" s="180"/>
      <c r="D404" s="181">
        <f>'AUSM FGD'!$D$44</f>
        <v>727007</v>
      </c>
      <c r="E404" s="181">
        <f>'AUSM FGD'!$E$44</f>
        <v>1810654</v>
      </c>
      <c r="F404" s="181">
        <f>'AUSM FGD'!$F$44</f>
        <v>0</v>
      </c>
      <c r="G404" s="181">
        <f>'AUSM FGD'!$G$44</f>
        <v>0</v>
      </c>
      <c r="H404" s="181">
        <f>'AUSM FGD'!$H$44</f>
        <v>0</v>
      </c>
      <c r="I404" s="181">
        <f>'AUSM FGD'!$I$44</f>
        <v>0</v>
      </c>
      <c r="J404" s="181">
        <f>'AUSM FGD'!$J$44</f>
        <v>0</v>
      </c>
      <c r="K404" s="181">
        <f>'AUSM FGD'!$K$44</f>
        <v>0</v>
      </c>
      <c r="L404" s="181">
        <f>'AUSM FGD'!$L$44</f>
        <v>0</v>
      </c>
      <c r="M404" s="543">
        <f>'AUSM FGD'!$M$44</f>
        <v>2537661</v>
      </c>
    </row>
    <row r="405" spans="1:15" s="50" customFormat="1" hidden="1" outlineLevel="1">
      <c r="A405" s="293"/>
      <c r="B405" s="392" t="str">
        <f>'HSH FGD'!$B$2</f>
        <v>The University of Texas Health Science Center at Houston</v>
      </c>
      <c r="C405" s="180"/>
      <c r="D405" s="181">
        <f>'HSH FGD'!$D$44</f>
        <v>23669661</v>
      </c>
      <c r="E405" s="181">
        <f>'HSH FGD'!$E$44</f>
        <v>30540735</v>
      </c>
      <c r="F405" s="181">
        <f>'HSH FGD'!$F$44</f>
        <v>2426546</v>
      </c>
      <c r="G405" s="181">
        <f>'HSH FGD'!$G$44</f>
        <v>0</v>
      </c>
      <c r="H405" s="181">
        <f>'HSH FGD'!$H$44</f>
        <v>0</v>
      </c>
      <c r="I405" s="181">
        <f>'HSH FGD'!$I$44</f>
        <v>0</v>
      </c>
      <c r="J405" s="181">
        <f>'HSH FGD'!$J$44</f>
        <v>0</v>
      </c>
      <c r="K405" s="181">
        <f>'HSH FGD'!$K$44</f>
        <v>0</v>
      </c>
      <c r="L405" s="181">
        <f>'HSH FGD'!$L$44</f>
        <v>0</v>
      </c>
      <c r="M405" s="543">
        <f>'HSH FGD'!$M$44</f>
        <v>56636942</v>
      </c>
    </row>
    <row r="406" spans="1:15" s="50" customFormat="1" hidden="1" outlineLevel="1">
      <c r="A406" s="293"/>
      <c r="B406" s="392" t="str">
        <f>'HSSA FGD'!$B$2</f>
        <v>The University of Texas Health Science Center at San Antonio</v>
      </c>
      <c r="C406" s="180"/>
      <c r="D406" s="181">
        <f>'HSSA FGD'!$D$44</f>
        <v>11220020</v>
      </c>
      <c r="E406" s="181">
        <f>'HSSA FGD'!$E$44</f>
        <v>31912567</v>
      </c>
      <c r="F406" s="181">
        <f>'HSSA FGD'!$F$44</f>
        <v>2815216</v>
      </c>
      <c r="G406" s="181">
        <f>'HSSA FGD'!$G$44</f>
        <v>0</v>
      </c>
      <c r="H406" s="181">
        <f>'HSSA FGD'!$H$44</f>
        <v>0</v>
      </c>
      <c r="I406" s="181">
        <f>'HSSA FGD'!$I$44</f>
        <v>0</v>
      </c>
      <c r="J406" s="181">
        <f>'HSSA FGD'!$J$44</f>
        <v>0</v>
      </c>
      <c r="K406" s="181">
        <f>'HSSA FGD'!$K$44</f>
        <v>0</v>
      </c>
      <c r="L406" s="181">
        <f>'HSSA FGD'!$L$44</f>
        <v>0</v>
      </c>
      <c r="M406" s="543">
        <f>'HSSA FGD'!$M$44</f>
        <v>45947803</v>
      </c>
    </row>
    <row r="407" spans="1:15" s="50" customFormat="1" hidden="1" outlineLevel="1">
      <c r="A407" s="293"/>
      <c r="B407" s="392" t="str">
        <f>'MBG FGD'!$B$2</f>
        <v>The University of Texas Medical Branch at Galveston</v>
      </c>
      <c r="C407" s="180"/>
      <c r="D407" s="181">
        <f>'MBG FGD'!$D$44</f>
        <v>12669091</v>
      </c>
      <c r="E407" s="181">
        <f>'MBG FGD'!$E$44</f>
        <v>28165449</v>
      </c>
      <c r="F407" s="181">
        <f>'MBG FGD'!$F$44</f>
        <v>534422</v>
      </c>
      <c r="G407" s="181">
        <f>'MBG FGD'!$G$44</f>
        <v>0</v>
      </c>
      <c r="H407" s="181">
        <f>'MBG FGD'!$H$44</f>
        <v>0</v>
      </c>
      <c r="I407" s="181">
        <f>'MBG FGD'!$I$44</f>
        <v>0</v>
      </c>
      <c r="J407" s="181">
        <f>'MBG FGD'!$J$44</f>
        <v>0</v>
      </c>
      <c r="K407" s="181">
        <f>'MBG FGD'!$K$44</f>
        <v>0</v>
      </c>
      <c r="L407" s="181">
        <f>'MBG FGD'!$L$44</f>
        <v>0</v>
      </c>
      <c r="M407" s="543">
        <f>'MBG FGD'!$M$44</f>
        <v>41368962</v>
      </c>
    </row>
    <row r="408" spans="1:15" s="50" customFormat="1" hidden="1" outlineLevel="1">
      <c r="A408" s="293"/>
      <c r="B408" s="392" t="str">
        <f>'MDA FGD'!$B$2</f>
        <v>The University of Texas M.D. Anderson Cancer Center</v>
      </c>
      <c r="C408" s="180"/>
      <c r="D408" s="181">
        <f>'MDA FGD'!$D$44</f>
        <v>577545</v>
      </c>
      <c r="E408" s="181">
        <f>'MDA FGD'!$E$44</f>
        <v>535940</v>
      </c>
      <c r="F408" s="181">
        <f>'MDA FGD'!$F$44</f>
        <v>0</v>
      </c>
      <c r="G408" s="181">
        <f>'MDA FGD'!$G$44</f>
        <v>0</v>
      </c>
      <c r="H408" s="181">
        <f>'MDA FGD'!$H$44</f>
        <v>0</v>
      </c>
      <c r="I408" s="181">
        <f>'MDA FGD'!$I$44</f>
        <v>0</v>
      </c>
      <c r="J408" s="181">
        <f>'MDA FGD'!$J$44</f>
        <v>0</v>
      </c>
      <c r="K408" s="181">
        <f>'MDA FGD'!$K$44</f>
        <v>0</v>
      </c>
      <c r="L408" s="181">
        <f>'MDA FGD'!$L$44</f>
        <v>0</v>
      </c>
      <c r="M408" s="543">
        <f>'MDA FGD'!$M$44</f>
        <v>1113485</v>
      </c>
    </row>
    <row r="409" spans="1:15" s="50" customFormat="1" hidden="1" outlineLevel="1">
      <c r="A409" s="293"/>
      <c r="B409" s="392" t="str">
        <f>'RGVM FGD'!$B$2</f>
        <v>The University of Texas Rio Grande Valley Medical School (M)</v>
      </c>
      <c r="C409" s="180"/>
      <c r="D409" s="181">
        <f>'RGVM FGD'!$D$44</f>
        <v>690167</v>
      </c>
      <c r="E409" s="181">
        <f>'RGVM FGD'!$E$44</f>
        <v>1456807</v>
      </c>
      <c r="F409" s="181">
        <f>'RGVM FGD'!$F$44</f>
        <v>99537</v>
      </c>
      <c r="G409" s="181">
        <f>'RGVM FGD'!$G$44</f>
        <v>0</v>
      </c>
      <c r="H409" s="181">
        <f>'RGVM FGD'!$H$44</f>
        <v>0</v>
      </c>
      <c r="I409" s="181">
        <f>'RGVM FGD'!$I$44</f>
        <v>0</v>
      </c>
      <c r="J409" s="181">
        <f>'RGVM FGD'!$J$44</f>
        <v>0</v>
      </c>
      <c r="K409" s="181">
        <f>'RGVM FGD'!$K$44</f>
        <v>0</v>
      </c>
      <c r="L409" s="181">
        <f>'RGVM FGD'!$L$44</f>
        <v>0</v>
      </c>
      <c r="M409" s="543">
        <f>'RGVM FGD'!$M$44</f>
        <v>2246511</v>
      </c>
    </row>
    <row r="410" spans="1:15" s="50" customFormat="1" hidden="1" outlineLevel="1">
      <c r="A410" s="293"/>
      <c r="B410" s="392" t="str">
        <f>'SWM FGD'!$B$2</f>
        <v>The University of Texas Southwestern Medical Center</v>
      </c>
      <c r="C410" s="180"/>
      <c r="D410" s="181">
        <f>'SWM FGD'!$D$44</f>
        <v>8098424</v>
      </c>
      <c r="E410" s="181">
        <f>'SWM FGD'!$E$44</f>
        <v>17424335</v>
      </c>
      <c r="F410" s="181">
        <f>'SWM FGD'!$F$44</f>
        <v>1504770</v>
      </c>
      <c r="G410" s="181">
        <f>'SWM FGD'!$G$44</f>
        <v>0</v>
      </c>
      <c r="H410" s="181">
        <f>'SWM FGD'!$H$44</f>
        <v>0</v>
      </c>
      <c r="I410" s="181">
        <f>'SWM FGD'!$I$44</f>
        <v>0</v>
      </c>
      <c r="J410" s="181">
        <f>'SWM FGD'!$J$44</f>
        <v>0</v>
      </c>
      <c r="K410" s="181">
        <f>'SWM FGD'!$K$44</f>
        <v>0</v>
      </c>
      <c r="L410" s="181">
        <f>'SWM FGD'!$L$44</f>
        <v>0</v>
      </c>
      <c r="M410" s="543">
        <f>'SWM FGD'!$M$44</f>
        <v>27027529</v>
      </c>
    </row>
    <row r="411" spans="1:15" s="50" customFormat="1" hidden="1" outlineLevel="1">
      <c r="A411" s="293"/>
      <c r="B411" s="392" t="str">
        <f>'TAMHSC FGD'!$B$2</f>
        <v>Texas A&amp;M University System Health Science Center</v>
      </c>
      <c r="C411" s="180"/>
      <c r="D411" s="181">
        <f>'TAMHSC FGD'!$D$44</f>
        <v>16666256</v>
      </c>
      <c r="E411" s="181">
        <f>'TAMHSC FGD'!$E$44</f>
        <v>20378592</v>
      </c>
      <c r="F411" s="181">
        <f>'TAMHSC FGD'!$F$44</f>
        <v>1105808</v>
      </c>
      <c r="G411" s="181">
        <f>'TAMHSC FGD'!$G$44</f>
        <v>0</v>
      </c>
      <c r="H411" s="181">
        <f>'TAMHSC FGD'!$H$44</f>
        <v>0</v>
      </c>
      <c r="I411" s="181">
        <f>'TAMHSC FGD'!$I$44</f>
        <v>0</v>
      </c>
      <c r="J411" s="181">
        <f>'TAMHSC FGD'!$J$44</f>
        <v>0</v>
      </c>
      <c r="K411" s="181">
        <f>'TAMHSC FGD'!$K$44</f>
        <v>0</v>
      </c>
      <c r="L411" s="181">
        <f>'TAMHSC FGD'!$L$44</f>
        <v>0</v>
      </c>
      <c r="M411" s="543">
        <f>'TAMHSC FGD'!$M$44</f>
        <v>38150656</v>
      </c>
    </row>
    <row r="412" spans="1:15" s="50" customFormat="1" hidden="1" outlineLevel="1">
      <c r="A412" s="293"/>
      <c r="B412" s="392" t="str">
        <f>'THC FGD'!$B$2</f>
        <v>The University of Texas Health Science Center at Tyler</v>
      </c>
      <c r="C412" s="180"/>
      <c r="D412" s="181">
        <f>'THC FGD'!$D$44</f>
        <v>67722</v>
      </c>
      <c r="E412" s="181">
        <f>'THC FGD'!$E$44</f>
        <v>115245</v>
      </c>
      <c r="F412" s="181">
        <f>'THC FGD'!$F$44</f>
        <v>0</v>
      </c>
      <c r="G412" s="181">
        <f>'THC FGD'!$G$44</f>
        <v>0</v>
      </c>
      <c r="H412" s="181">
        <f>'THC FGD'!$H$44</f>
        <v>0</v>
      </c>
      <c r="I412" s="181">
        <f>'THC FGD'!$I$44</f>
        <v>0</v>
      </c>
      <c r="J412" s="181">
        <f>'THC FGD'!$J$44</f>
        <v>0</v>
      </c>
      <c r="K412" s="181">
        <f>'THC FGD'!$K$44</f>
        <v>0</v>
      </c>
      <c r="L412" s="181">
        <f>'THC FGD'!$L$44</f>
        <v>0</v>
      </c>
      <c r="M412" s="543">
        <f>'THC FGD'!$M$44</f>
        <v>182967</v>
      </c>
    </row>
    <row r="413" spans="1:15" s="50" customFormat="1" hidden="1" outlineLevel="1">
      <c r="A413" s="293"/>
      <c r="B413" s="392" t="str">
        <f>'TTUHSC FGD'!$B$2</f>
        <v>Texas Tech University Health Sciences Center</v>
      </c>
      <c r="C413" s="180"/>
      <c r="D413" s="181">
        <f>'TTUHSC FGD'!$D$44</f>
        <v>15488933</v>
      </c>
      <c r="E413" s="181">
        <f>'TTUHSC FGD'!$E$44</f>
        <v>36501878</v>
      </c>
      <c r="F413" s="181">
        <f>'TTUHSC FGD'!$F$44</f>
        <v>0</v>
      </c>
      <c r="G413" s="181">
        <f>'TTUHSC FGD'!$G$44</f>
        <v>0</v>
      </c>
      <c r="H413" s="181">
        <f>'TTUHSC FGD'!$H$44</f>
        <v>0</v>
      </c>
      <c r="I413" s="181">
        <f>'TTUHSC FGD'!$I$44</f>
        <v>0</v>
      </c>
      <c r="J413" s="181">
        <f>'TTUHSC FGD'!$J$44</f>
        <v>0</v>
      </c>
      <c r="K413" s="181">
        <f>'TTUHSC FGD'!$K$44</f>
        <v>0</v>
      </c>
      <c r="L413" s="181">
        <f>'TTUHSC FGD'!$L$44</f>
        <v>0</v>
      </c>
      <c r="M413" s="543">
        <f>'TTUHSC FGD'!$M$44</f>
        <v>51990811</v>
      </c>
    </row>
    <row r="414" spans="1:15" s="50" customFormat="1" hidden="1" outlineLevel="1">
      <c r="A414" s="293"/>
      <c r="B414" s="392" t="str">
        <f>'TTUHSCEP FGD'!$B$2</f>
        <v>Texas Tech University Health Sciences Center at El Paso</v>
      </c>
      <c r="C414" s="180"/>
      <c r="D414" s="181">
        <f>'TTUHSCEP FGD'!$D$44</f>
        <v>2673648</v>
      </c>
      <c r="E414" s="181">
        <f>'TTUHSCEP FGD'!$E$44</f>
        <v>6317922</v>
      </c>
      <c r="F414" s="181">
        <f>'TTUHSCEP FGD'!$F$44</f>
        <v>0</v>
      </c>
      <c r="G414" s="181">
        <f>'TTUHSCEP FGD'!$G$44</f>
        <v>0</v>
      </c>
      <c r="H414" s="181">
        <f>'TTUHSCEP FGD'!$H$44</f>
        <v>0</v>
      </c>
      <c r="I414" s="181">
        <f>'TTUHSCEP FGD'!$I$44</f>
        <v>0</v>
      </c>
      <c r="J414" s="181">
        <f>'TTUHSCEP FGD'!$J$44</f>
        <v>0</v>
      </c>
      <c r="K414" s="181">
        <f>'TTUHSCEP FGD'!$K$44</f>
        <v>0</v>
      </c>
      <c r="L414" s="181">
        <f>'TTUHSCEP FGD'!$L$44</f>
        <v>0</v>
      </c>
      <c r="M414" s="543">
        <f>'TTUHSCEP FGD'!$M$44</f>
        <v>8991570</v>
      </c>
    </row>
    <row r="415" spans="1:15" s="50" customFormat="1" hidden="1" outlineLevel="1">
      <c r="A415" s="293"/>
      <c r="B415" s="392" t="str">
        <f>'UNTHSC FGD'!$B$2</f>
        <v>University of North Texas Health Science Center at Fort Worth</v>
      </c>
      <c r="C415" s="180"/>
      <c r="D415" s="181">
        <f>'UNTHSC FGD'!$D$44</f>
        <v>10539123</v>
      </c>
      <c r="E415" s="181">
        <f>'UNTHSC FGD'!$E$44</f>
        <v>19271759</v>
      </c>
      <c r="F415" s="181">
        <f>'UNTHSC FGD'!$F$44</f>
        <v>0</v>
      </c>
      <c r="G415" s="181">
        <f>'UNTHSC FGD'!$G$44</f>
        <v>0</v>
      </c>
      <c r="H415" s="181">
        <f>'UNTHSC FGD'!$H$44</f>
        <v>0</v>
      </c>
      <c r="I415" s="181">
        <f>'UNTHSC FGD'!$I$44</f>
        <v>0</v>
      </c>
      <c r="J415" s="181">
        <f>'UNTHSC FGD'!$J$44</f>
        <v>0</v>
      </c>
      <c r="K415" s="181">
        <f>'UNTHSC FGD'!$K$44</f>
        <v>0</v>
      </c>
      <c r="L415" s="181">
        <f>'UNTHSC FGD'!$L$44</f>
        <v>0</v>
      </c>
      <c r="M415" s="543">
        <f>'UNTHSC FGD'!$M$44</f>
        <v>29810882</v>
      </c>
    </row>
    <row r="416" spans="1:15" s="50" customFormat="1" ht="13.5" customHeight="1" collapsed="1">
      <c r="A416" s="293"/>
      <c r="B416" s="551" t="s">
        <v>1008</v>
      </c>
      <c r="C416" s="179"/>
      <c r="D416" s="356">
        <f t="shared" ref="D416:M416" si="30">SUM(D404:D415)</f>
        <v>103087597</v>
      </c>
      <c r="E416" s="356">
        <f t="shared" si="30"/>
        <v>194431883</v>
      </c>
      <c r="F416" s="356">
        <f t="shared" si="30"/>
        <v>8486299</v>
      </c>
      <c r="G416" s="356">
        <f t="shared" si="30"/>
        <v>0</v>
      </c>
      <c r="H416" s="356">
        <f t="shared" si="30"/>
        <v>0</v>
      </c>
      <c r="I416" s="356">
        <f t="shared" si="30"/>
        <v>0</v>
      </c>
      <c r="J416" s="356">
        <f t="shared" si="30"/>
        <v>0</v>
      </c>
      <c r="K416" s="356">
        <f t="shared" si="30"/>
        <v>0</v>
      </c>
      <c r="L416" s="356">
        <f t="shared" si="30"/>
        <v>0</v>
      </c>
      <c r="M416" s="356">
        <f t="shared" si="30"/>
        <v>306005779</v>
      </c>
      <c r="O416" s="293" t="str">
        <f>IF(M416&lt;&gt;M1016,"Error","OK")</f>
        <v>OK</v>
      </c>
    </row>
    <row r="417" spans="1:15">
      <c r="A417" s="147">
        <v>28</v>
      </c>
      <c r="D417" s="357"/>
      <c r="E417" s="357"/>
      <c r="F417" s="357"/>
      <c r="G417" s="357"/>
      <c r="H417" s="357"/>
      <c r="I417" s="357"/>
      <c r="J417" s="357"/>
      <c r="K417" s="357"/>
      <c r="L417" s="357"/>
      <c r="M417" s="357"/>
      <c r="N417" s="50"/>
      <c r="O417" s="149"/>
    </row>
    <row r="418" spans="1:15">
      <c r="A418" s="147">
        <v>29</v>
      </c>
      <c r="B418" s="151" t="s">
        <v>6</v>
      </c>
      <c r="C418" s="151"/>
      <c r="D418" s="357"/>
      <c r="E418" s="357"/>
      <c r="F418" s="357"/>
      <c r="G418" s="357"/>
      <c r="H418" s="357"/>
      <c r="I418" s="357"/>
      <c r="J418" s="357"/>
      <c r="K418" s="357"/>
      <c r="L418" s="357"/>
      <c r="M418" s="357"/>
      <c r="N418" s="50"/>
      <c r="O418" s="149"/>
    </row>
    <row r="419" spans="1:15" hidden="1" outlineLevel="1">
      <c r="B419" s="392" t="str">
        <f>'AUSM FGD'!$B$2</f>
        <v>The University of Texas at Austin Medical School (M)</v>
      </c>
      <c r="C419" s="151"/>
      <c r="D419" s="357">
        <f>'AUSM FGD'!$D$47</f>
        <v>0</v>
      </c>
      <c r="E419" s="357">
        <f>'AUSM FGD'!$E$47</f>
        <v>0</v>
      </c>
      <c r="F419" s="357">
        <f>'AUSM FGD'!$F$47</f>
        <v>0</v>
      </c>
      <c r="G419" s="357">
        <f>'AUSM FGD'!$G$47</f>
        <v>9489928</v>
      </c>
      <c r="H419" s="357">
        <f>'AUSM FGD'!$H$47</f>
        <v>0</v>
      </c>
      <c r="I419" s="357">
        <f>'AUSM FGD'!$I$47</f>
        <v>0</v>
      </c>
      <c r="J419" s="357">
        <f>'AUSM FGD'!$J$47</f>
        <v>0</v>
      </c>
      <c r="K419" s="357">
        <f>'AUSM FGD'!$K$47</f>
        <v>0</v>
      </c>
      <c r="L419" s="357">
        <f>'AUSM FGD'!$L$47</f>
        <v>0</v>
      </c>
      <c r="M419" s="357">
        <f>'AUSM FGD'!$M$47</f>
        <v>9489928</v>
      </c>
      <c r="N419" s="50"/>
      <c r="O419" s="149"/>
    </row>
    <row r="420" spans="1:15" hidden="1" outlineLevel="1">
      <c r="B420" s="392" t="str">
        <f>'HSH FGD'!$B$2</f>
        <v>The University of Texas Health Science Center at Houston</v>
      </c>
      <c r="C420" s="151"/>
      <c r="D420" s="357">
        <f>'HSH FGD'!$D$47</f>
        <v>0</v>
      </c>
      <c r="E420" s="357">
        <f>'HSH FGD'!$E$47</f>
        <v>37643860</v>
      </c>
      <c r="F420" s="357">
        <f>'HSH FGD'!$F$47</f>
        <v>0</v>
      </c>
      <c r="G420" s="357">
        <f>'HSH FGD'!$G$47</f>
        <v>118728483</v>
      </c>
      <c r="H420" s="357">
        <f>'HSH FGD'!$H$47</f>
        <v>0</v>
      </c>
      <c r="I420" s="357">
        <f>'HSH FGD'!$I$47</f>
        <v>0</v>
      </c>
      <c r="J420" s="357">
        <f>'HSH FGD'!$J$47</f>
        <v>0</v>
      </c>
      <c r="K420" s="357">
        <f>'HSH FGD'!$K$47</f>
        <v>0</v>
      </c>
      <c r="L420" s="357">
        <f>'HSH FGD'!$L$47</f>
        <v>0</v>
      </c>
      <c r="M420" s="357">
        <f>'HSH FGD'!$M$47</f>
        <v>156372343</v>
      </c>
      <c r="N420" s="50"/>
      <c r="O420" s="149"/>
    </row>
    <row r="421" spans="1:15" hidden="1" outlineLevel="1">
      <c r="B421" s="392" t="str">
        <f>'HSSA FGD'!$B$2</f>
        <v>The University of Texas Health Science Center at San Antonio</v>
      </c>
      <c r="C421" s="151"/>
      <c r="D421" s="357">
        <f>'HSSA FGD'!$D$47</f>
        <v>0</v>
      </c>
      <c r="E421" s="357">
        <f>'HSSA FGD'!$E$47</f>
        <v>23784508</v>
      </c>
      <c r="F421" s="357">
        <f>'HSSA FGD'!$F$47</f>
        <v>0</v>
      </c>
      <c r="G421" s="357">
        <f>'HSSA FGD'!$G$47</f>
        <v>79918983</v>
      </c>
      <c r="H421" s="357">
        <f>'HSSA FGD'!$H$47</f>
        <v>0</v>
      </c>
      <c r="I421" s="357">
        <f>'HSSA FGD'!$I$47</f>
        <v>0</v>
      </c>
      <c r="J421" s="357">
        <f>'HSSA FGD'!$J$47</f>
        <v>0</v>
      </c>
      <c r="K421" s="357">
        <f>'HSSA FGD'!$K$47</f>
        <v>0</v>
      </c>
      <c r="L421" s="357">
        <f>'HSSA FGD'!$L$47</f>
        <v>0</v>
      </c>
      <c r="M421" s="357">
        <f>'HSSA FGD'!$M$47</f>
        <v>103703491</v>
      </c>
      <c r="N421" s="50"/>
      <c r="O421" s="149"/>
    </row>
    <row r="422" spans="1:15" hidden="1" outlineLevel="1">
      <c r="B422" s="392" t="str">
        <f>'MBG FGD'!$B$2</f>
        <v>The University of Texas Medical Branch at Galveston</v>
      </c>
      <c r="C422" s="151"/>
      <c r="D422" s="357">
        <f>'MBG FGD'!$D$47</f>
        <v>0</v>
      </c>
      <c r="E422" s="357">
        <f>'MBG FGD'!$E$47</f>
        <v>33605469</v>
      </c>
      <c r="F422" s="357">
        <f>'MBG FGD'!$F$47</f>
        <v>0</v>
      </c>
      <c r="G422" s="357">
        <f>'MBG FGD'!$G$47</f>
        <v>96491208</v>
      </c>
      <c r="H422" s="357">
        <f>'MBG FGD'!$H$47</f>
        <v>0</v>
      </c>
      <c r="I422" s="357">
        <f>'MBG FGD'!$I$47</f>
        <v>0</v>
      </c>
      <c r="J422" s="357">
        <f>'MBG FGD'!$J$47</f>
        <v>-352845</v>
      </c>
      <c r="K422" s="357">
        <f>'MBG FGD'!$K$47</f>
        <v>0</v>
      </c>
      <c r="L422" s="357">
        <f>'MBG FGD'!$L$47</f>
        <v>0</v>
      </c>
      <c r="M422" s="357">
        <f>'MBG FGD'!$M$47</f>
        <v>129743832</v>
      </c>
      <c r="N422" s="50"/>
      <c r="O422" s="149"/>
    </row>
    <row r="423" spans="1:15" hidden="1" outlineLevel="1">
      <c r="B423" s="392" t="str">
        <f>'MDA FGD'!$B$2</f>
        <v>The University of Texas M.D. Anderson Cancer Center</v>
      </c>
      <c r="C423" s="151"/>
      <c r="D423" s="357">
        <f>'MDA FGD'!$D$47</f>
        <v>0</v>
      </c>
      <c r="E423" s="357">
        <f>'MDA FGD'!$E$47</f>
        <v>56818666</v>
      </c>
      <c r="F423" s="357">
        <f>'MDA FGD'!$F$47</f>
        <v>0</v>
      </c>
      <c r="G423" s="357">
        <f>'MDA FGD'!$G$47</f>
        <v>118488957</v>
      </c>
      <c r="H423" s="357">
        <f>'MDA FGD'!$H$47</f>
        <v>0</v>
      </c>
      <c r="I423" s="357">
        <f>'MDA FGD'!$I$47</f>
        <v>0</v>
      </c>
      <c r="J423" s="357">
        <f>'MDA FGD'!$J$47</f>
        <v>0</v>
      </c>
      <c r="K423" s="357">
        <f>'MDA FGD'!$K$47</f>
        <v>0</v>
      </c>
      <c r="L423" s="357">
        <f>'MDA FGD'!$L$47</f>
        <v>0</v>
      </c>
      <c r="M423" s="357">
        <f>'MDA FGD'!$M$47</f>
        <v>175307623</v>
      </c>
      <c r="N423" s="50"/>
      <c r="O423" s="149"/>
    </row>
    <row r="424" spans="1:15" hidden="1" outlineLevel="1">
      <c r="B424" s="392" t="str">
        <f>'RGVM FGD'!$B$2</f>
        <v>The University of Texas Rio Grande Valley Medical School (M)</v>
      </c>
      <c r="C424" s="151"/>
      <c r="D424" s="357">
        <f>'RGVM FGD'!$D$47</f>
        <v>0</v>
      </c>
      <c r="E424" s="357">
        <f>'RGVM FGD'!$E$47</f>
        <v>0</v>
      </c>
      <c r="F424" s="357">
        <f>'RGVM FGD'!$F$47</f>
        <v>0</v>
      </c>
      <c r="G424" s="357">
        <f>'RGVM FGD'!$G$47</f>
        <v>4297754</v>
      </c>
      <c r="H424" s="357">
        <f>'RGVM FGD'!$H$47</f>
        <v>0</v>
      </c>
      <c r="I424" s="357">
        <f>'RGVM FGD'!$I$47</f>
        <v>0</v>
      </c>
      <c r="J424" s="357">
        <f>'RGVM FGD'!$J$47</f>
        <v>0</v>
      </c>
      <c r="K424" s="357">
        <f>'RGVM FGD'!$K$47</f>
        <v>0</v>
      </c>
      <c r="L424" s="357">
        <f>'RGVM FGD'!$L$47</f>
        <v>0</v>
      </c>
      <c r="M424" s="357">
        <f>'RGVM FGD'!$M$47</f>
        <v>4297754</v>
      </c>
      <c r="N424" s="50"/>
      <c r="O424" s="149"/>
    </row>
    <row r="425" spans="1:15" hidden="1" outlineLevel="1">
      <c r="B425" s="392" t="str">
        <f>'SWM FGD'!$B$2</f>
        <v>The University of Texas Southwestern Medical Center</v>
      </c>
      <c r="C425" s="151"/>
      <c r="D425" s="357">
        <f>'SWM FGD'!$D$47</f>
        <v>0</v>
      </c>
      <c r="E425" s="357">
        <f>'SWM FGD'!$E$47</f>
        <v>62080805</v>
      </c>
      <c r="F425" s="357">
        <f>'SWM FGD'!$F$47</f>
        <v>0</v>
      </c>
      <c r="G425" s="357">
        <f>'SWM FGD'!$G$47</f>
        <v>138927458</v>
      </c>
      <c r="H425" s="357">
        <f>'SWM FGD'!$H$47</f>
        <v>0</v>
      </c>
      <c r="I425" s="357">
        <f>'SWM FGD'!$I$47</f>
        <v>0</v>
      </c>
      <c r="J425" s="357">
        <f>'SWM FGD'!$J$47</f>
        <v>0</v>
      </c>
      <c r="K425" s="357">
        <f>'SWM FGD'!$K$47</f>
        <v>0</v>
      </c>
      <c r="L425" s="357">
        <f>'SWM FGD'!$L$47</f>
        <v>0</v>
      </c>
      <c r="M425" s="357">
        <f>'SWM FGD'!$M$47</f>
        <v>201008263</v>
      </c>
      <c r="N425" s="50"/>
      <c r="O425" s="149"/>
    </row>
    <row r="426" spans="1:15" hidden="1" outlineLevel="1">
      <c r="B426" s="392" t="str">
        <f>'TAMHSC FGD'!$B$2</f>
        <v>Texas A&amp;M University System Health Science Center</v>
      </c>
      <c r="C426" s="151"/>
      <c r="D426" s="357">
        <f>'TAMHSC FGD'!$D$47</f>
        <v>0</v>
      </c>
      <c r="E426" s="357">
        <f>'TAMHSC FGD'!$E$47</f>
        <v>9896943</v>
      </c>
      <c r="F426" s="357">
        <f>'TAMHSC FGD'!$F$47</f>
        <v>0</v>
      </c>
      <c r="G426" s="357">
        <f>'TAMHSC FGD'!$G$47</f>
        <v>32273266</v>
      </c>
      <c r="H426" s="357">
        <f>'TAMHSC FGD'!$H$47</f>
        <v>0</v>
      </c>
      <c r="I426" s="357">
        <f>'TAMHSC FGD'!$I$47</f>
        <v>0</v>
      </c>
      <c r="J426" s="357">
        <f>'TAMHSC FGD'!$J$47</f>
        <v>0</v>
      </c>
      <c r="K426" s="357">
        <f>'TAMHSC FGD'!$K$47</f>
        <v>0</v>
      </c>
      <c r="L426" s="357">
        <f>'TAMHSC FGD'!$L$47</f>
        <v>0</v>
      </c>
      <c r="M426" s="357">
        <f>'TAMHSC FGD'!$M$47</f>
        <v>42170209</v>
      </c>
      <c r="N426" s="50"/>
      <c r="O426" s="149"/>
    </row>
    <row r="427" spans="1:15" hidden="1" outlineLevel="1">
      <c r="B427" s="392" t="str">
        <f>'THC FGD'!$B$2</f>
        <v>The University of Texas Health Science Center at Tyler</v>
      </c>
      <c r="C427" s="151"/>
      <c r="D427" s="357">
        <f>'THC FGD'!$D$47</f>
        <v>0</v>
      </c>
      <c r="E427" s="357">
        <f>'THC FGD'!$E$47</f>
        <v>2110775</v>
      </c>
      <c r="F427" s="357">
        <f>'THC FGD'!$F$47</f>
        <v>0</v>
      </c>
      <c r="G427" s="357">
        <f>'THC FGD'!$G$47</f>
        <v>8115738</v>
      </c>
      <c r="H427" s="357">
        <f>'THC FGD'!$H$47</f>
        <v>0</v>
      </c>
      <c r="I427" s="357">
        <f>'THC FGD'!$I$47</f>
        <v>0</v>
      </c>
      <c r="J427" s="357">
        <f>'THC FGD'!$J$47</f>
        <v>0</v>
      </c>
      <c r="K427" s="357">
        <f>'THC FGD'!$K$47</f>
        <v>0</v>
      </c>
      <c r="L427" s="357">
        <f>'THC FGD'!$L$47</f>
        <v>0</v>
      </c>
      <c r="M427" s="357">
        <f>'THC FGD'!$M$47</f>
        <v>10226513</v>
      </c>
      <c r="N427" s="50"/>
      <c r="O427" s="149"/>
    </row>
    <row r="428" spans="1:15" hidden="1" outlineLevel="1">
      <c r="B428" s="392" t="str">
        <f>'TTUHSC FGD'!$B$2</f>
        <v>Texas Tech University Health Sciences Center</v>
      </c>
      <c r="C428" s="151"/>
      <c r="D428" s="357">
        <f>'TTUHSC FGD'!$D$47</f>
        <v>0</v>
      </c>
      <c r="E428" s="357">
        <f>'TTUHSC FGD'!$E$47</f>
        <v>1285018</v>
      </c>
      <c r="F428" s="357">
        <f>'TTUHSC FGD'!$F$47</f>
        <v>0</v>
      </c>
      <c r="G428" s="357">
        <f>'TTUHSC FGD'!$G$47</f>
        <v>18303977</v>
      </c>
      <c r="H428" s="357">
        <f>'TTUHSC FGD'!$H$47</f>
        <v>10401</v>
      </c>
      <c r="I428" s="357">
        <f>'TTUHSC FGD'!$I$47</f>
        <v>0</v>
      </c>
      <c r="J428" s="357">
        <f>'TTUHSC FGD'!$J$47</f>
        <v>0</v>
      </c>
      <c r="K428" s="357">
        <f>'TTUHSC FGD'!$K$47</f>
        <v>0</v>
      </c>
      <c r="L428" s="357">
        <f>'TTUHSC FGD'!$L$47</f>
        <v>0</v>
      </c>
      <c r="M428" s="357">
        <f>'TTUHSC FGD'!$M$47</f>
        <v>19599396</v>
      </c>
      <c r="N428" s="50"/>
      <c r="O428" s="149"/>
    </row>
    <row r="429" spans="1:15" hidden="1" outlineLevel="1">
      <c r="B429" s="392" t="str">
        <f>'TTUHSCEP FGD'!$B$2</f>
        <v>Texas Tech University Health Sciences Center at El Paso</v>
      </c>
      <c r="C429" s="151"/>
      <c r="D429" s="357">
        <f>'TTUHSCEP FGD'!$D$47</f>
        <v>0</v>
      </c>
      <c r="E429" s="357">
        <f>'TTUHSCEP FGD'!$E$47</f>
        <v>913044</v>
      </c>
      <c r="F429" s="357">
        <f>'TTUHSCEP FGD'!$F$47</f>
        <v>0</v>
      </c>
      <c r="G429" s="357">
        <f>'TTUHSCEP FGD'!$G$47</f>
        <v>2871495</v>
      </c>
      <c r="H429" s="357">
        <f>'TTUHSCEP FGD'!$H$47</f>
        <v>0</v>
      </c>
      <c r="I429" s="357">
        <f>'TTUHSCEP FGD'!$I$47</f>
        <v>0</v>
      </c>
      <c r="J429" s="357">
        <f>'TTUHSCEP FGD'!$J$47</f>
        <v>0</v>
      </c>
      <c r="K429" s="357">
        <f>'TTUHSCEP FGD'!$K$47</f>
        <v>0</v>
      </c>
      <c r="L429" s="357">
        <f>'TTUHSCEP FGD'!$L$47</f>
        <v>0</v>
      </c>
      <c r="M429" s="357">
        <f>'TTUHSCEP FGD'!$M$47</f>
        <v>3784539</v>
      </c>
      <c r="N429" s="50"/>
      <c r="O429" s="149"/>
    </row>
    <row r="430" spans="1:15" hidden="1" outlineLevel="1">
      <c r="B430" s="392" t="str">
        <f>'UNTHSC FGD'!$B$2</f>
        <v>University of North Texas Health Science Center at Fort Worth</v>
      </c>
      <c r="C430" s="151"/>
      <c r="D430" s="357">
        <f>'UNTHSC FGD'!$D$47</f>
        <v>0</v>
      </c>
      <c r="E430" s="357">
        <f>'UNTHSC FGD'!$E$47</f>
        <v>0</v>
      </c>
      <c r="F430" s="357">
        <f>'UNTHSC FGD'!$F$47</f>
        <v>0</v>
      </c>
      <c r="G430" s="357">
        <f>'UNTHSC FGD'!$G$47</f>
        <v>37000670</v>
      </c>
      <c r="H430" s="357">
        <f>'UNTHSC FGD'!$H$47</f>
        <v>0</v>
      </c>
      <c r="I430" s="357">
        <f>'UNTHSC FGD'!$I$47</f>
        <v>0</v>
      </c>
      <c r="J430" s="357">
        <f>'UNTHSC FGD'!$J$47</f>
        <v>0</v>
      </c>
      <c r="K430" s="357">
        <f>'UNTHSC FGD'!$K$47</f>
        <v>0</v>
      </c>
      <c r="L430" s="357">
        <f>'UNTHSC FGD'!$L$47</f>
        <v>0</v>
      </c>
      <c r="M430" s="357">
        <f>'UNTHSC FGD'!$M$47</f>
        <v>37000670</v>
      </c>
      <c r="N430" s="50"/>
      <c r="O430" s="149"/>
    </row>
    <row r="431" spans="1:15" collapsed="1">
      <c r="A431" s="147">
        <v>30</v>
      </c>
      <c r="B431" s="158" t="s">
        <v>7</v>
      </c>
      <c r="C431" s="158"/>
      <c r="D431" s="358">
        <f t="shared" ref="D431:M431" si="31">SUM(D419:D430)</f>
        <v>0</v>
      </c>
      <c r="E431" s="358">
        <f t="shared" si="31"/>
        <v>228139088</v>
      </c>
      <c r="F431" s="358">
        <f t="shared" si="31"/>
        <v>0</v>
      </c>
      <c r="G431" s="358">
        <f t="shared" si="31"/>
        <v>664907917</v>
      </c>
      <c r="H431" s="358">
        <f t="shared" si="31"/>
        <v>10401</v>
      </c>
      <c r="I431" s="358">
        <f t="shared" si="31"/>
        <v>0</v>
      </c>
      <c r="J431" s="358">
        <f t="shared" si="31"/>
        <v>-352845</v>
      </c>
      <c r="K431" s="358">
        <f t="shared" si="31"/>
        <v>0</v>
      </c>
      <c r="L431" s="358">
        <f t="shared" si="31"/>
        <v>0</v>
      </c>
      <c r="M431" s="356">
        <f t="shared" si="31"/>
        <v>892704561</v>
      </c>
      <c r="N431" s="50"/>
      <c r="O431" s="293" t="str">
        <f>IF(M431&lt;&gt;M1019,"Error","OK")</f>
        <v>OK</v>
      </c>
    </row>
    <row r="432" spans="1:15">
      <c r="A432" s="147">
        <v>31</v>
      </c>
      <c r="D432" s="357"/>
      <c r="E432" s="357"/>
      <c r="F432" s="357"/>
      <c r="G432" s="357"/>
      <c r="H432" s="357"/>
      <c r="I432" s="357"/>
      <c r="J432" s="357"/>
      <c r="K432" s="357"/>
      <c r="L432" s="357"/>
      <c r="M432" s="357"/>
    </row>
    <row r="433" spans="1:15">
      <c r="A433" s="147">
        <v>32</v>
      </c>
      <c r="B433" s="151" t="s">
        <v>57</v>
      </c>
      <c r="C433" s="151"/>
      <c r="D433" s="357"/>
      <c r="E433" s="357"/>
      <c r="F433" s="357"/>
      <c r="G433" s="357"/>
      <c r="H433" s="357"/>
      <c r="I433" s="357"/>
      <c r="J433" s="357"/>
      <c r="K433" s="357"/>
      <c r="L433" s="357"/>
      <c r="M433" s="357"/>
    </row>
    <row r="434" spans="1:15" hidden="1" outlineLevel="1">
      <c r="B434" s="392" t="str">
        <f>'AUSM FGD'!$B$2</f>
        <v>The University of Texas at Austin Medical School (M)</v>
      </c>
      <c r="C434" s="151"/>
      <c r="D434" s="357">
        <f>'AUSM FGD'!$D$50</f>
        <v>0</v>
      </c>
      <c r="E434" s="357">
        <f>'AUSM FGD'!$E$50</f>
        <v>2343886</v>
      </c>
      <c r="F434" s="357">
        <f>'AUSM FGD'!$F$50</f>
        <v>0</v>
      </c>
      <c r="G434" s="357">
        <f>'AUSM FGD'!$G$50</f>
        <v>0</v>
      </c>
      <c r="H434" s="357">
        <f>'AUSM FGD'!$H$50</f>
        <v>0</v>
      </c>
      <c r="I434" s="357">
        <f>'AUSM FGD'!$I$50</f>
        <v>0</v>
      </c>
      <c r="J434" s="357">
        <f>'AUSM FGD'!$J$50</f>
        <v>0</v>
      </c>
      <c r="K434" s="357">
        <f>'AUSM FGD'!$K$50</f>
        <v>0</v>
      </c>
      <c r="L434" s="357">
        <f>'AUSM FGD'!$L$50</f>
        <v>0</v>
      </c>
      <c r="M434" s="357">
        <f>'AUSM FGD'!$M$50</f>
        <v>2343886</v>
      </c>
    </row>
    <row r="435" spans="1:15" hidden="1" outlineLevel="1">
      <c r="B435" s="392" t="str">
        <f>'HSH FGD'!$B$2</f>
        <v>The University of Texas Health Science Center at Houston</v>
      </c>
      <c r="C435" s="151"/>
      <c r="D435" s="357">
        <f>'HSH FGD'!$D$50</f>
        <v>0</v>
      </c>
      <c r="E435" s="357">
        <f>'HSH FGD'!$E$50</f>
        <v>368873422</v>
      </c>
      <c r="F435" s="357">
        <f>'HSH FGD'!$F$50</f>
        <v>0</v>
      </c>
      <c r="G435" s="357">
        <f>'HSH FGD'!$G$50</f>
        <v>0</v>
      </c>
      <c r="H435" s="357">
        <f>'HSH FGD'!$H$50</f>
        <v>0</v>
      </c>
      <c r="I435" s="357">
        <f>'HSH FGD'!$I$50</f>
        <v>0</v>
      </c>
      <c r="J435" s="357">
        <f>'HSH FGD'!$J$50</f>
        <v>0</v>
      </c>
      <c r="K435" s="357">
        <f>'HSH FGD'!$K$50</f>
        <v>0</v>
      </c>
      <c r="L435" s="357">
        <f>'HSH FGD'!$L$50</f>
        <v>0</v>
      </c>
      <c r="M435" s="357">
        <f>'HSH FGD'!$M$50</f>
        <v>368873422</v>
      </c>
    </row>
    <row r="436" spans="1:15" hidden="1" outlineLevel="1">
      <c r="B436" s="392" t="str">
        <f>'HSSA FGD'!$B$2</f>
        <v>The University of Texas Health Science Center at San Antonio</v>
      </c>
      <c r="C436" s="151"/>
      <c r="D436" s="357">
        <f>'HSSA FGD'!$D$50</f>
        <v>0</v>
      </c>
      <c r="E436" s="357">
        <f>'HSSA FGD'!$E$50</f>
        <v>216393102</v>
      </c>
      <c r="F436" s="357">
        <f>'HSSA FGD'!$F$50</f>
        <v>0</v>
      </c>
      <c r="G436" s="357">
        <f>'HSSA FGD'!$G$50</f>
        <v>0</v>
      </c>
      <c r="H436" s="357">
        <f>'HSSA FGD'!$H$50</f>
        <v>0</v>
      </c>
      <c r="I436" s="357">
        <f>'HSSA FGD'!$I$50</f>
        <v>0</v>
      </c>
      <c r="J436" s="357">
        <f>'HSSA FGD'!$J$50</f>
        <v>0</v>
      </c>
      <c r="K436" s="357">
        <f>'HSSA FGD'!$K$50</f>
        <v>0</v>
      </c>
      <c r="L436" s="357">
        <f>'HSSA FGD'!$L$50</f>
        <v>0</v>
      </c>
      <c r="M436" s="357">
        <f>'HSSA FGD'!$M$50</f>
        <v>216393102</v>
      </c>
    </row>
    <row r="437" spans="1:15" hidden="1" outlineLevel="1">
      <c r="B437" s="392" t="str">
        <f>'MBG FGD'!$B$2</f>
        <v>The University of Texas Medical Branch at Galveston</v>
      </c>
      <c r="C437" s="151"/>
      <c r="D437" s="357">
        <f>'MBG FGD'!$D$50</f>
        <v>0</v>
      </c>
      <c r="E437" s="357">
        <f>'MBG FGD'!$E$50</f>
        <v>199548093</v>
      </c>
      <c r="F437" s="357">
        <f>'MBG FGD'!$F$50</f>
        <v>0</v>
      </c>
      <c r="G437" s="357">
        <f>'MBG FGD'!$G$50</f>
        <v>0</v>
      </c>
      <c r="H437" s="357">
        <f>'MBG FGD'!$H$50</f>
        <v>0</v>
      </c>
      <c r="I437" s="357">
        <f>'MBG FGD'!$I$50</f>
        <v>0</v>
      </c>
      <c r="J437" s="357">
        <f>'MBG FGD'!$J$50</f>
        <v>0</v>
      </c>
      <c r="K437" s="357">
        <f>'MBG FGD'!$K$50</f>
        <v>0</v>
      </c>
      <c r="L437" s="357">
        <f>'MBG FGD'!$L$50</f>
        <v>0</v>
      </c>
      <c r="M437" s="357">
        <f>'MBG FGD'!$M$50</f>
        <v>199548093</v>
      </c>
    </row>
    <row r="438" spans="1:15" hidden="1" outlineLevel="1">
      <c r="B438" s="392" t="str">
        <f>'MDA FGD'!$B$2</f>
        <v>The University of Texas M.D. Anderson Cancer Center</v>
      </c>
      <c r="C438" s="151"/>
      <c r="D438" s="357">
        <f>'MDA FGD'!$D$50</f>
        <v>0</v>
      </c>
      <c r="E438" s="357">
        <f>'MDA FGD'!$E$50</f>
        <v>403758919</v>
      </c>
      <c r="F438" s="357">
        <f>'MDA FGD'!$F$50</f>
        <v>0</v>
      </c>
      <c r="G438" s="357">
        <f>'MDA FGD'!$G$50</f>
        <v>0</v>
      </c>
      <c r="H438" s="357">
        <f>'MDA FGD'!$H$50</f>
        <v>0</v>
      </c>
      <c r="I438" s="357">
        <f>'MDA FGD'!$I$50</f>
        <v>0</v>
      </c>
      <c r="J438" s="357">
        <f>'MDA FGD'!$J$50</f>
        <v>0</v>
      </c>
      <c r="K438" s="357">
        <f>'MDA FGD'!$K$50</f>
        <v>0</v>
      </c>
      <c r="L438" s="357">
        <f>'MDA FGD'!$L$50</f>
        <v>0</v>
      </c>
      <c r="M438" s="357">
        <f>'MDA FGD'!$M$50</f>
        <v>403758919</v>
      </c>
    </row>
    <row r="439" spans="1:15" hidden="1" outlineLevel="1">
      <c r="B439" s="392" t="str">
        <f>'RGVM FGD'!$B$2</f>
        <v>The University of Texas Rio Grande Valley Medical School (M)</v>
      </c>
      <c r="C439" s="151"/>
      <c r="D439" s="357">
        <f>'RGVM FGD'!$D$50</f>
        <v>0</v>
      </c>
      <c r="E439" s="357">
        <f>'RGVM FGD'!$E$50</f>
        <v>4464325</v>
      </c>
      <c r="F439" s="357">
        <f>'RGVM FGD'!$F$50</f>
        <v>0</v>
      </c>
      <c r="G439" s="357">
        <f>'RGVM FGD'!$G$50</f>
        <v>0</v>
      </c>
      <c r="H439" s="357">
        <f>'RGVM FGD'!$H$50</f>
        <v>0</v>
      </c>
      <c r="I439" s="357">
        <f>'RGVM FGD'!$I$50</f>
        <v>0</v>
      </c>
      <c r="J439" s="357">
        <f>'RGVM FGD'!$J$50</f>
        <v>0</v>
      </c>
      <c r="K439" s="357">
        <f>'RGVM FGD'!$K$50</f>
        <v>0</v>
      </c>
      <c r="L439" s="357">
        <f>'RGVM FGD'!$L$50</f>
        <v>0</v>
      </c>
      <c r="M439" s="357">
        <f>'RGVM FGD'!$M$50</f>
        <v>4464325</v>
      </c>
    </row>
    <row r="440" spans="1:15" hidden="1" outlineLevel="1">
      <c r="B440" s="392" t="str">
        <f>'SWM FGD'!$B$2</f>
        <v>The University of Texas Southwestern Medical Center</v>
      </c>
      <c r="C440" s="151"/>
      <c r="D440" s="357">
        <f>'SWM FGD'!$D$50</f>
        <v>0</v>
      </c>
      <c r="E440" s="357">
        <f>'SWM FGD'!$E$50</f>
        <v>665714950</v>
      </c>
      <c r="F440" s="357">
        <f>'SWM FGD'!$F$50</f>
        <v>0</v>
      </c>
      <c r="G440" s="357">
        <f>'SWM FGD'!$G$50</f>
        <v>0</v>
      </c>
      <c r="H440" s="357">
        <f>'SWM FGD'!$H$50</f>
        <v>0</v>
      </c>
      <c r="I440" s="357">
        <f>'SWM FGD'!$I$50</f>
        <v>0</v>
      </c>
      <c r="J440" s="357">
        <f>'SWM FGD'!$J$50</f>
        <v>0</v>
      </c>
      <c r="K440" s="357">
        <f>'SWM FGD'!$K$50</f>
        <v>0</v>
      </c>
      <c r="L440" s="357">
        <f>'SWM FGD'!$L$50</f>
        <v>0</v>
      </c>
      <c r="M440" s="357">
        <f>'SWM FGD'!$M$50</f>
        <v>665714950</v>
      </c>
    </row>
    <row r="441" spans="1:15" hidden="1" outlineLevel="1">
      <c r="B441" s="392" t="str">
        <f>'TAMHSC FGD'!$B$2</f>
        <v>Texas A&amp;M University System Health Science Center</v>
      </c>
      <c r="C441" s="151"/>
      <c r="D441" s="357">
        <f>'TAMHSC FGD'!$D$50</f>
        <v>0</v>
      </c>
      <c r="E441" s="357">
        <f>'TAMHSC FGD'!$E$50</f>
        <v>0</v>
      </c>
      <c r="F441" s="357">
        <f>'TAMHSC FGD'!$F$50</f>
        <v>0</v>
      </c>
      <c r="G441" s="357">
        <f>'TAMHSC FGD'!$G$50</f>
        <v>0</v>
      </c>
      <c r="H441" s="357">
        <f>'TAMHSC FGD'!$H$50</f>
        <v>0</v>
      </c>
      <c r="I441" s="357">
        <f>'TAMHSC FGD'!$I$50</f>
        <v>0</v>
      </c>
      <c r="J441" s="357">
        <f>'TAMHSC FGD'!$J$50</f>
        <v>0</v>
      </c>
      <c r="K441" s="357">
        <f>'TAMHSC FGD'!$K$50</f>
        <v>0</v>
      </c>
      <c r="L441" s="357">
        <f>'TAMHSC FGD'!$L$50</f>
        <v>0</v>
      </c>
      <c r="M441" s="357">
        <f>'TAMHSC FGD'!$M$50</f>
        <v>0</v>
      </c>
    </row>
    <row r="442" spans="1:15" hidden="1" outlineLevel="1">
      <c r="B442" s="392" t="str">
        <f>'THC FGD'!$B$2</f>
        <v>The University of Texas Health Science Center at Tyler</v>
      </c>
      <c r="C442" s="151"/>
      <c r="D442" s="357">
        <f>'THC FGD'!$D$50</f>
        <v>0</v>
      </c>
      <c r="E442" s="357">
        <f>'THC FGD'!$E$50</f>
        <v>17429053</v>
      </c>
      <c r="F442" s="357">
        <f>'THC FGD'!$F$50</f>
        <v>0</v>
      </c>
      <c r="G442" s="357">
        <f>'THC FGD'!$G$50</f>
        <v>0</v>
      </c>
      <c r="H442" s="357">
        <f>'THC FGD'!$H$50</f>
        <v>0</v>
      </c>
      <c r="I442" s="357">
        <f>'THC FGD'!$I$50</f>
        <v>0</v>
      </c>
      <c r="J442" s="357">
        <f>'THC FGD'!$J$50</f>
        <v>0</v>
      </c>
      <c r="K442" s="357">
        <f>'THC FGD'!$K$50</f>
        <v>0</v>
      </c>
      <c r="L442" s="357">
        <f>'THC FGD'!$L$50</f>
        <v>0</v>
      </c>
      <c r="M442" s="357">
        <f>'THC FGD'!$M$50</f>
        <v>17429053</v>
      </c>
    </row>
    <row r="443" spans="1:15" hidden="1" outlineLevel="1">
      <c r="B443" s="392" t="str">
        <f>'TTUHSC FGD'!$B$2</f>
        <v>Texas Tech University Health Sciences Center</v>
      </c>
      <c r="C443" s="151"/>
      <c r="D443" s="357">
        <f>'TTUHSC FGD'!$D$50</f>
        <v>0</v>
      </c>
      <c r="E443" s="357">
        <f>'TTUHSC FGD'!$E$50</f>
        <v>114908206</v>
      </c>
      <c r="F443" s="357">
        <f>'TTUHSC FGD'!$F$50</f>
        <v>0</v>
      </c>
      <c r="G443" s="357">
        <f>'TTUHSC FGD'!$G$50</f>
        <v>106629573</v>
      </c>
      <c r="H443" s="357">
        <f>'TTUHSC FGD'!$H$50</f>
        <v>0</v>
      </c>
      <c r="I443" s="357">
        <f>'TTUHSC FGD'!$I$50</f>
        <v>0</v>
      </c>
      <c r="J443" s="357">
        <f>'TTUHSC FGD'!$J$50</f>
        <v>0</v>
      </c>
      <c r="K443" s="357">
        <f>'TTUHSC FGD'!$K$50</f>
        <v>0</v>
      </c>
      <c r="L443" s="357">
        <f>'TTUHSC FGD'!$L$50</f>
        <v>0</v>
      </c>
      <c r="M443" s="357">
        <f>'TTUHSC FGD'!$M$50</f>
        <v>221537779</v>
      </c>
    </row>
    <row r="444" spans="1:15" hidden="1" outlineLevel="1">
      <c r="B444" s="392" t="str">
        <f>'TTUHSCEP FGD'!$B$2</f>
        <v>Texas Tech University Health Sciences Center at El Paso</v>
      </c>
      <c r="C444" s="151"/>
      <c r="D444" s="357">
        <f>'TTUHSCEP FGD'!$D$50</f>
        <v>0</v>
      </c>
      <c r="E444" s="357">
        <f>'TTUHSCEP FGD'!$E$50</f>
        <v>51823292</v>
      </c>
      <c r="F444" s="357">
        <f>'TTUHSCEP FGD'!$F$50</f>
        <v>0</v>
      </c>
      <c r="G444" s="357">
        <f>'TTUHSCEP FGD'!$G$50</f>
        <v>0</v>
      </c>
      <c r="H444" s="357">
        <f>'TTUHSCEP FGD'!$H$50</f>
        <v>0</v>
      </c>
      <c r="I444" s="357">
        <f>'TTUHSCEP FGD'!$I$50</f>
        <v>0</v>
      </c>
      <c r="J444" s="357">
        <f>'TTUHSCEP FGD'!$J$50</f>
        <v>0</v>
      </c>
      <c r="K444" s="357">
        <f>'TTUHSCEP FGD'!$K$50</f>
        <v>0</v>
      </c>
      <c r="L444" s="357">
        <f>'TTUHSCEP FGD'!$L$50</f>
        <v>0</v>
      </c>
      <c r="M444" s="357">
        <f>'TTUHSCEP FGD'!$M$50</f>
        <v>51823292</v>
      </c>
    </row>
    <row r="445" spans="1:15" hidden="1" outlineLevel="1">
      <c r="B445" s="392" t="str">
        <f>'UNTHSC FGD'!$B$2</f>
        <v>University of North Texas Health Science Center at Fort Worth</v>
      </c>
      <c r="C445" s="151"/>
      <c r="D445" s="357">
        <f>'UNTHSC FGD'!$D$50</f>
        <v>0</v>
      </c>
      <c r="E445" s="357">
        <f>'UNTHSC FGD'!$E$50</f>
        <v>15378723</v>
      </c>
      <c r="F445" s="357">
        <f>'UNTHSC FGD'!$F$50</f>
        <v>0</v>
      </c>
      <c r="G445" s="357">
        <f>'UNTHSC FGD'!$G$50</f>
        <v>0</v>
      </c>
      <c r="H445" s="357">
        <f>'UNTHSC FGD'!$H$50</f>
        <v>0</v>
      </c>
      <c r="I445" s="357">
        <f>'UNTHSC FGD'!$I$50</f>
        <v>0</v>
      </c>
      <c r="J445" s="357">
        <f>'UNTHSC FGD'!$J$50</f>
        <v>0</v>
      </c>
      <c r="K445" s="357">
        <f>'UNTHSC FGD'!$K$50</f>
        <v>0</v>
      </c>
      <c r="L445" s="357">
        <f>'UNTHSC FGD'!$L$50</f>
        <v>0</v>
      </c>
      <c r="M445" s="357">
        <f>'UNTHSC FGD'!$M$50</f>
        <v>15378723</v>
      </c>
    </row>
    <row r="446" spans="1:15" collapsed="1">
      <c r="A446" s="147">
        <v>33</v>
      </c>
      <c r="B446" s="158" t="s">
        <v>56</v>
      </c>
      <c r="C446" s="158"/>
      <c r="D446" s="358">
        <f t="shared" ref="D446:M446" si="32">SUM(D434:D445)</f>
        <v>0</v>
      </c>
      <c r="E446" s="358">
        <f t="shared" si="32"/>
        <v>2060635971</v>
      </c>
      <c r="F446" s="358">
        <f t="shared" si="32"/>
        <v>0</v>
      </c>
      <c r="G446" s="358">
        <f t="shared" si="32"/>
        <v>106629573</v>
      </c>
      <c r="H446" s="358">
        <f t="shared" si="32"/>
        <v>0</v>
      </c>
      <c r="I446" s="358">
        <f t="shared" si="32"/>
        <v>0</v>
      </c>
      <c r="J446" s="358">
        <f t="shared" si="32"/>
        <v>0</v>
      </c>
      <c r="K446" s="358">
        <f t="shared" si="32"/>
        <v>0</v>
      </c>
      <c r="L446" s="358">
        <f t="shared" si="32"/>
        <v>0</v>
      </c>
      <c r="M446" s="356">
        <f t="shared" si="32"/>
        <v>2167265544</v>
      </c>
      <c r="O446" s="293" t="str">
        <f>IF(M446&lt;&gt;M1022,"Error","OK")</f>
        <v>OK</v>
      </c>
    </row>
    <row r="447" spans="1:15">
      <c r="A447" s="147">
        <v>34</v>
      </c>
      <c r="B447" s="159"/>
      <c r="C447" s="159"/>
      <c r="D447" s="346"/>
      <c r="E447" s="346"/>
      <c r="F447" s="346"/>
      <c r="G447" s="346"/>
      <c r="H447" s="346"/>
      <c r="I447" s="346"/>
      <c r="J447" s="346"/>
      <c r="K447" s="346"/>
      <c r="L447" s="346"/>
      <c r="M447" s="346"/>
    </row>
    <row r="448" spans="1:15">
      <c r="A448" s="147">
        <v>35</v>
      </c>
      <c r="B448" s="151" t="s">
        <v>55</v>
      </c>
      <c r="C448" s="151"/>
      <c r="D448" s="357"/>
      <c r="E448" s="357"/>
      <c r="F448" s="357"/>
      <c r="G448" s="357"/>
      <c r="H448" s="357"/>
      <c r="I448" s="357"/>
      <c r="J448" s="357"/>
      <c r="K448" s="357"/>
      <c r="L448" s="357"/>
      <c r="M448" s="357"/>
    </row>
    <row r="449" spans="1:15" hidden="1" outlineLevel="1">
      <c r="B449" s="392" t="str">
        <f>'AUSM FGD'!$B$2</f>
        <v>The University of Texas at Austin Medical School (M)</v>
      </c>
      <c r="C449" s="151"/>
      <c r="D449" s="357">
        <f>'AUSM FGD'!$D$53</f>
        <v>0</v>
      </c>
      <c r="E449" s="357">
        <f>'AUSM FGD'!$E$53</f>
        <v>0</v>
      </c>
      <c r="F449" s="357">
        <f>'AUSM FGD'!$F$53</f>
        <v>0</v>
      </c>
      <c r="G449" s="357">
        <f>'AUSM FGD'!$G$53</f>
        <v>0</v>
      </c>
      <c r="H449" s="357">
        <f>'AUSM FGD'!$H$53</f>
        <v>0</v>
      </c>
      <c r="I449" s="357">
        <f>'AUSM FGD'!$I$53</f>
        <v>0</v>
      </c>
      <c r="J449" s="357">
        <f>'AUSM FGD'!$J$53</f>
        <v>0</v>
      </c>
      <c r="K449" s="357">
        <f>'AUSM FGD'!$K$53</f>
        <v>0</v>
      </c>
      <c r="L449" s="357">
        <f>'AUSM FGD'!$L$53</f>
        <v>0</v>
      </c>
      <c r="M449" s="357">
        <f>'AUSM FGD'!$M$53</f>
        <v>0</v>
      </c>
    </row>
    <row r="450" spans="1:15" hidden="1" outlineLevel="1">
      <c r="B450" s="392" t="str">
        <f>'HSH FGD'!$B$2</f>
        <v>The University of Texas Health Science Center at Houston</v>
      </c>
      <c r="C450" s="151"/>
      <c r="D450" s="357">
        <f>'HSH FGD'!$D$53</f>
        <v>46845317</v>
      </c>
      <c r="E450" s="357">
        <f>'HSH FGD'!$E$53</f>
        <v>25140503</v>
      </c>
      <c r="F450" s="357">
        <f>'HSH FGD'!$F$53</f>
        <v>0</v>
      </c>
      <c r="G450" s="357">
        <f>'HSH FGD'!$G$53</f>
        <v>0</v>
      </c>
      <c r="H450" s="357">
        <f>'HSH FGD'!$H$53</f>
        <v>0</v>
      </c>
      <c r="I450" s="357">
        <f>'HSH FGD'!$I$53</f>
        <v>0</v>
      </c>
      <c r="J450" s="357">
        <f>'HSH FGD'!$J$53</f>
        <v>0</v>
      </c>
      <c r="K450" s="357">
        <f>'HSH FGD'!$K$53</f>
        <v>0</v>
      </c>
      <c r="L450" s="357">
        <f>'HSH FGD'!$L$53</f>
        <v>0</v>
      </c>
      <c r="M450" s="357">
        <f>'HSH FGD'!$M$53</f>
        <v>71985820</v>
      </c>
    </row>
    <row r="451" spans="1:15" hidden="1" outlineLevel="1">
      <c r="B451" s="392" t="str">
        <f>'HSSA FGD'!$B$2</f>
        <v>The University of Texas Health Science Center at San Antonio</v>
      </c>
      <c r="C451" s="151"/>
      <c r="D451" s="357">
        <f>'HSSA FGD'!$D$53</f>
        <v>0</v>
      </c>
      <c r="E451" s="357">
        <f>'HSSA FGD'!$E$53</f>
        <v>0</v>
      </c>
      <c r="F451" s="357">
        <f>'HSSA FGD'!$F$53</f>
        <v>0</v>
      </c>
      <c r="G451" s="357">
        <f>'HSSA FGD'!$G$53</f>
        <v>0</v>
      </c>
      <c r="H451" s="357">
        <f>'HSSA FGD'!$H$53</f>
        <v>0</v>
      </c>
      <c r="I451" s="357">
        <f>'HSSA FGD'!$I$53</f>
        <v>0</v>
      </c>
      <c r="J451" s="357">
        <f>'HSSA FGD'!$J$53</f>
        <v>0</v>
      </c>
      <c r="K451" s="357">
        <f>'HSSA FGD'!$K$53</f>
        <v>0</v>
      </c>
      <c r="L451" s="357">
        <f>'HSSA FGD'!$L$53</f>
        <v>0</v>
      </c>
      <c r="M451" s="357">
        <f>'HSSA FGD'!$M$53</f>
        <v>0</v>
      </c>
    </row>
    <row r="452" spans="1:15" hidden="1" outlineLevel="1">
      <c r="B452" s="392" t="str">
        <f>'MBG FGD'!$B$2</f>
        <v>The University of Texas Medical Branch at Galveston</v>
      </c>
      <c r="C452" s="151"/>
      <c r="D452" s="357">
        <f>'MBG FGD'!$D$53</f>
        <v>622743743</v>
      </c>
      <c r="E452" s="357">
        <f>'MBG FGD'!$E$53</f>
        <v>571689453</v>
      </c>
      <c r="F452" s="357">
        <f>'MBG FGD'!$F$53</f>
        <v>0</v>
      </c>
      <c r="G452" s="357">
        <f>'MBG FGD'!$G$53</f>
        <v>0</v>
      </c>
      <c r="H452" s="357">
        <f>'MBG FGD'!$H$53</f>
        <v>0</v>
      </c>
      <c r="I452" s="357">
        <f>'MBG FGD'!$I$53</f>
        <v>0</v>
      </c>
      <c r="J452" s="357">
        <f>'MBG FGD'!$J$53</f>
        <v>0</v>
      </c>
      <c r="K452" s="357">
        <f>'MBG FGD'!$K$53</f>
        <v>0</v>
      </c>
      <c r="L452" s="357">
        <f>'MBG FGD'!$L$53</f>
        <v>0</v>
      </c>
      <c r="M452" s="357">
        <f>'MBG FGD'!$M$53</f>
        <v>1194433196</v>
      </c>
    </row>
    <row r="453" spans="1:15" hidden="1" outlineLevel="1">
      <c r="B453" s="392" t="str">
        <f>'MDA FGD'!$B$2</f>
        <v>The University of Texas M.D. Anderson Cancer Center</v>
      </c>
      <c r="C453" s="151"/>
      <c r="D453" s="357">
        <f>'MDA FGD'!$D$53</f>
        <v>3680395600</v>
      </c>
      <c r="E453" s="357">
        <f>'MDA FGD'!$E$53</f>
        <v>0</v>
      </c>
      <c r="F453" s="357">
        <f>'MDA FGD'!$F$53</f>
        <v>0</v>
      </c>
      <c r="G453" s="357">
        <f>'MDA FGD'!$G$53</f>
        <v>0</v>
      </c>
      <c r="H453" s="357">
        <f>'MDA FGD'!$H$53</f>
        <v>0</v>
      </c>
      <c r="I453" s="357">
        <f>'MDA FGD'!$I$53</f>
        <v>0</v>
      </c>
      <c r="J453" s="357">
        <f>'MDA FGD'!$J$53</f>
        <v>0</v>
      </c>
      <c r="K453" s="357">
        <f>'MDA FGD'!$K$53</f>
        <v>0</v>
      </c>
      <c r="L453" s="357">
        <f>'MDA FGD'!$L$53</f>
        <v>0</v>
      </c>
      <c r="M453" s="357">
        <f>'MDA FGD'!$M$53</f>
        <v>3680395600</v>
      </c>
    </row>
    <row r="454" spans="1:15" hidden="1" outlineLevel="1">
      <c r="B454" s="392" t="str">
        <f>'RGVM FGD'!$B$2</f>
        <v>The University of Texas Rio Grande Valley Medical School (M)</v>
      </c>
      <c r="C454" s="151"/>
      <c r="D454" s="357">
        <f>'RGVM FGD'!$D$53</f>
        <v>0</v>
      </c>
      <c r="E454" s="357">
        <f>'RGVM FGD'!$E$53</f>
        <v>0</v>
      </c>
      <c r="F454" s="357">
        <f>'RGVM FGD'!$F$53</f>
        <v>0</v>
      </c>
      <c r="G454" s="357">
        <f>'RGVM FGD'!$G$53</f>
        <v>0</v>
      </c>
      <c r="H454" s="357">
        <f>'RGVM FGD'!$H$53</f>
        <v>0</v>
      </c>
      <c r="I454" s="357">
        <f>'RGVM FGD'!$I$53</f>
        <v>0</v>
      </c>
      <c r="J454" s="357">
        <f>'RGVM FGD'!$J$53</f>
        <v>0</v>
      </c>
      <c r="K454" s="357">
        <f>'RGVM FGD'!$K$53</f>
        <v>0</v>
      </c>
      <c r="L454" s="357">
        <f>'RGVM FGD'!$L$53</f>
        <v>0</v>
      </c>
      <c r="M454" s="357">
        <f>'RGVM FGD'!$M$53</f>
        <v>0</v>
      </c>
    </row>
    <row r="455" spans="1:15" hidden="1" outlineLevel="1">
      <c r="B455" s="392" t="str">
        <f>'SWM FGD'!$B$2</f>
        <v>The University of Texas Southwestern Medical Center</v>
      </c>
      <c r="C455" s="151"/>
      <c r="D455" s="357">
        <f>'SWM FGD'!$D$53</f>
        <v>0</v>
      </c>
      <c r="E455" s="357">
        <f>'SWM FGD'!$E$53</f>
        <v>1308148971</v>
      </c>
      <c r="F455" s="357">
        <f>'SWM FGD'!$F$53</f>
        <v>0</v>
      </c>
      <c r="G455" s="357">
        <f>'SWM FGD'!$G$53</f>
        <v>0</v>
      </c>
      <c r="H455" s="357">
        <f>'SWM FGD'!$H$53</f>
        <v>0</v>
      </c>
      <c r="I455" s="357">
        <f>'SWM FGD'!$I$53</f>
        <v>0</v>
      </c>
      <c r="J455" s="357">
        <f>'SWM FGD'!$J$53</f>
        <v>0</v>
      </c>
      <c r="K455" s="357">
        <f>'SWM FGD'!$K$53</f>
        <v>0</v>
      </c>
      <c r="L455" s="357">
        <f>'SWM FGD'!$L$53</f>
        <v>0</v>
      </c>
      <c r="M455" s="357">
        <f>'SWM FGD'!$M$53</f>
        <v>1308148971</v>
      </c>
    </row>
    <row r="456" spans="1:15" hidden="1" outlineLevel="1">
      <c r="B456" s="392" t="str">
        <f>'TAMHSC FGD'!$B$2</f>
        <v>Texas A&amp;M University System Health Science Center</v>
      </c>
      <c r="C456" s="151"/>
      <c r="D456" s="357">
        <f>'TAMHSC FGD'!$D$53</f>
        <v>0</v>
      </c>
      <c r="E456" s="357">
        <f>'TAMHSC FGD'!$E$53</f>
        <v>0</v>
      </c>
      <c r="F456" s="357">
        <f>'TAMHSC FGD'!$F$53</f>
        <v>0</v>
      </c>
      <c r="G456" s="357">
        <f>'TAMHSC FGD'!$G$53</f>
        <v>0</v>
      </c>
      <c r="H456" s="357">
        <f>'TAMHSC FGD'!$H$53</f>
        <v>0</v>
      </c>
      <c r="I456" s="357">
        <f>'TAMHSC FGD'!$I$53</f>
        <v>0</v>
      </c>
      <c r="J456" s="357">
        <f>'TAMHSC FGD'!$J$53</f>
        <v>0</v>
      </c>
      <c r="K456" s="357">
        <f>'TAMHSC FGD'!$K$53</f>
        <v>0</v>
      </c>
      <c r="L456" s="357">
        <f>'TAMHSC FGD'!$L$53</f>
        <v>0</v>
      </c>
      <c r="M456" s="357">
        <f>'TAMHSC FGD'!$M$53</f>
        <v>0</v>
      </c>
    </row>
    <row r="457" spans="1:15" hidden="1" outlineLevel="1">
      <c r="B457" s="392" t="str">
        <f>'THC FGD'!$B$2</f>
        <v>The University of Texas Health Science Center at Tyler</v>
      </c>
      <c r="C457" s="151"/>
      <c r="D457" s="357">
        <f>'THC FGD'!$D$53</f>
        <v>62486035</v>
      </c>
      <c r="E457" s="357">
        <f>'THC FGD'!$E$53</f>
        <v>0</v>
      </c>
      <c r="F457" s="357">
        <f>'THC FGD'!$F$53</f>
        <v>0</v>
      </c>
      <c r="G457" s="357">
        <f>'THC FGD'!$G$53</f>
        <v>0</v>
      </c>
      <c r="H457" s="357">
        <f>'THC FGD'!$H$53</f>
        <v>0</v>
      </c>
      <c r="I457" s="357">
        <f>'THC FGD'!$I$53</f>
        <v>0</v>
      </c>
      <c r="J457" s="357">
        <f>'THC FGD'!$J$53</f>
        <v>0</v>
      </c>
      <c r="K457" s="357">
        <f>'THC FGD'!$K$53</f>
        <v>0</v>
      </c>
      <c r="L457" s="357">
        <f>'THC FGD'!$L$53</f>
        <v>0</v>
      </c>
      <c r="M457" s="357">
        <f>'THC FGD'!$M$53</f>
        <v>62486035</v>
      </c>
    </row>
    <row r="458" spans="1:15" hidden="1" outlineLevel="1">
      <c r="B458" s="392" t="str">
        <f>'TTUHSC FGD'!$B$2</f>
        <v>Texas Tech University Health Sciences Center</v>
      </c>
      <c r="C458" s="151"/>
      <c r="D458" s="357">
        <f>'TTUHSC FGD'!$D$53</f>
        <v>0</v>
      </c>
      <c r="E458" s="357">
        <f>'TTUHSC FGD'!$E$53</f>
        <v>0</v>
      </c>
      <c r="F458" s="357">
        <f>'TTUHSC FGD'!$F$53</f>
        <v>0</v>
      </c>
      <c r="G458" s="357">
        <f>'TTUHSC FGD'!$G$53</f>
        <v>0</v>
      </c>
      <c r="H458" s="357">
        <f>'TTUHSC FGD'!$H$53</f>
        <v>0</v>
      </c>
      <c r="I458" s="357">
        <f>'TTUHSC FGD'!$I$53</f>
        <v>0</v>
      </c>
      <c r="J458" s="357">
        <f>'TTUHSC FGD'!$J$53</f>
        <v>0</v>
      </c>
      <c r="K458" s="357">
        <f>'TTUHSC FGD'!$K$53</f>
        <v>0</v>
      </c>
      <c r="L458" s="357">
        <f>'TTUHSC FGD'!$L$53</f>
        <v>0</v>
      </c>
      <c r="M458" s="357">
        <f>'TTUHSC FGD'!$M$53</f>
        <v>0</v>
      </c>
    </row>
    <row r="459" spans="1:15" hidden="1" outlineLevel="1">
      <c r="B459" s="392" t="str">
        <f>'TTUHSCEP FGD'!$B$2</f>
        <v>Texas Tech University Health Sciences Center at El Paso</v>
      </c>
      <c r="C459" s="151"/>
      <c r="D459" s="357">
        <f>'TTUHSCEP FGD'!$D$53</f>
        <v>0</v>
      </c>
      <c r="E459" s="357">
        <f>'TTUHSCEP FGD'!$E$53</f>
        <v>0</v>
      </c>
      <c r="F459" s="357">
        <f>'TTUHSCEP FGD'!$F$53</f>
        <v>0</v>
      </c>
      <c r="G459" s="357">
        <f>'TTUHSCEP FGD'!$G$53</f>
        <v>0</v>
      </c>
      <c r="H459" s="357">
        <f>'TTUHSCEP FGD'!$H$53</f>
        <v>0</v>
      </c>
      <c r="I459" s="357">
        <f>'TTUHSCEP FGD'!$I$53</f>
        <v>0</v>
      </c>
      <c r="J459" s="357">
        <f>'TTUHSCEP FGD'!$J$53</f>
        <v>0</v>
      </c>
      <c r="K459" s="357">
        <f>'TTUHSCEP FGD'!$K$53</f>
        <v>0</v>
      </c>
      <c r="L459" s="357">
        <f>'TTUHSCEP FGD'!$L$53</f>
        <v>0</v>
      </c>
      <c r="M459" s="357">
        <f>'TTUHSCEP FGD'!$M$53</f>
        <v>0</v>
      </c>
    </row>
    <row r="460" spans="1:15" hidden="1" outlineLevel="1">
      <c r="B460" s="392" t="str">
        <f>'UNTHSC FGD'!$B$2</f>
        <v>University of North Texas Health Science Center at Fort Worth</v>
      </c>
      <c r="C460" s="151"/>
      <c r="D460" s="357">
        <f>'UNTHSC FGD'!$D$53</f>
        <v>0</v>
      </c>
      <c r="E460" s="357">
        <f>'UNTHSC FGD'!$E$53</f>
        <v>0</v>
      </c>
      <c r="F460" s="357">
        <f>'UNTHSC FGD'!$F$53</f>
        <v>0</v>
      </c>
      <c r="G460" s="357">
        <f>'UNTHSC FGD'!$G$53</f>
        <v>0</v>
      </c>
      <c r="H460" s="357">
        <f>'UNTHSC FGD'!$H$53</f>
        <v>0</v>
      </c>
      <c r="I460" s="357">
        <f>'UNTHSC FGD'!$I$53</f>
        <v>0</v>
      </c>
      <c r="J460" s="357">
        <f>'UNTHSC FGD'!$J$53</f>
        <v>0</v>
      </c>
      <c r="K460" s="357">
        <f>'UNTHSC FGD'!$K$53</f>
        <v>0</v>
      </c>
      <c r="L460" s="357">
        <f>'UNTHSC FGD'!$L$53</f>
        <v>0</v>
      </c>
      <c r="M460" s="357">
        <f>'UNTHSC FGD'!$M$53</f>
        <v>0</v>
      </c>
    </row>
    <row r="461" spans="1:15" collapsed="1">
      <c r="A461" s="147">
        <v>36</v>
      </c>
      <c r="B461" s="158" t="s">
        <v>56</v>
      </c>
      <c r="C461" s="158"/>
      <c r="D461" s="358">
        <f t="shared" ref="D461:M461" si="33">SUM(D449:D460)</f>
        <v>4412470695</v>
      </c>
      <c r="E461" s="358">
        <f t="shared" si="33"/>
        <v>1904978927</v>
      </c>
      <c r="F461" s="358">
        <f t="shared" si="33"/>
        <v>0</v>
      </c>
      <c r="G461" s="358">
        <f t="shared" si="33"/>
        <v>0</v>
      </c>
      <c r="H461" s="358">
        <f t="shared" si="33"/>
        <v>0</v>
      </c>
      <c r="I461" s="358">
        <f t="shared" si="33"/>
        <v>0</v>
      </c>
      <c r="J461" s="358">
        <f t="shared" si="33"/>
        <v>0</v>
      </c>
      <c r="K461" s="358">
        <f t="shared" si="33"/>
        <v>0</v>
      </c>
      <c r="L461" s="358">
        <f t="shared" si="33"/>
        <v>0</v>
      </c>
      <c r="M461" s="356">
        <f t="shared" si="33"/>
        <v>6317449622</v>
      </c>
      <c r="O461" s="293" t="str">
        <f>IF(M461&lt;&gt;M1025,"Error","OK")</f>
        <v>OK</v>
      </c>
    </row>
    <row r="462" spans="1:15">
      <c r="A462" s="147">
        <v>37</v>
      </c>
      <c r="B462" s="159"/>
      <c r="C462" s="159"/>
      <c r="D462" s="357"/>
      <c r="E462" s="357"/>
      <c r="F462" s="357"/>
      <c r="G462" s="357"/>
      <c r="H462" s="357"/>
      <c r="I462" s="357"/>
      <c r="J462" s="357"/>
      <c r="K462" s="357"/>
      <c r="L462" s="357"/>
      <c r="M462" s="357"/>
    </row>
    <row r="463" spans="1:15">
      <c r="A463" s="147">
        <v>38</v>
      </c>
      <c r="B463" s="151" t="s">
        <v>8</v>
      </c>
      <c r="C463" s="151"/>
      <c r="D463" s="357"/>
      <c r="E463" s="357"/>
      <c r="F463" s="357"/>
      <c r="G463" s="357"/>
      <c r="H463" s="357"/>
      <c r="I463" s="357"/>
      <c r="J463" s="357"/>
      <c r="K463" s="357"/>
      <c r="L463" s="357"/>
      <c r="M463" s="357"/>
    </row>
    <row r="464" spans="1:15" hidden="1" outlineLevel="1">
      <c r="B464" s="392" t="str">
        <f>'AUSM FGD'!$B$2</f>
        <v>The University of Texas at Austin Medical School (M)</v>
      </c>
      <c r="C464" s="151"/>
      <c r="D464" s="357">
        <f>'AUSM FGD'!$D$56</f>
        <v>0</v>
      </c>
      <c r="E464" s="357">
        <f>'AUSM FGD'!$E$56</f>
        <v>810037</v>
      </c>
      <c r="F464" s="357">
        <f>'AUSM FGD'!$F$56</f>
        <v>0</v>
      </c>
      <c r="G464" s="357">
        <f>'AUSM FGD'!$G$56</f>
        <v>1112986</v>
      </c>
      <c r="H464" s="357">
        <f>'AUSM FGD'!$H$56</f>
        <v>0</v>
      </c>
      <c r="I464" s="357">
        <f>'AUSM FGD'!$I$56</f>
        <v>-109</v>
      </c>
      <c r="J464" s="357">
        <f>'AUSM FGD'!$J$56</f>
        <v>0</v>
      </c>
      <c r="K464" s="357">
        <f>'AUSM FGD'!$K$56</f>
        <v>0</v>
      </c>
      <c r="L464" s="357">
        <f>'AUSM FGD'!$L$56</f>
        <v>0</v>
      </c>
      <c r="M464" s="357">
        <f>'AUSM FGD'!$M$56</f>
        <v>1922914</v>
      </c>
    </row>
    <row r="465" spans="1:13" hidden="1" outlineLevel="1">
      <c r="B465" s="392" t="str">
        <f>'HSH FGD'!$B$2</f>
        <v>The University of Texas Health Science Center at Houston</v>
      </c>
      <c r="C465" s="151"/>
      <c r="D465" s="357">
        <f>'HSH FGD'!$D$56</f>
        <v>3098516</v>
      </c>
      <c r="E465" s="357">
        <f>'HSH FGD'!$E$56</f>
        <v>30367423</v>
      </c>
      <c r="F465" s="357">
        <f>'HSH FGD'!$F$56</f>
        <v>875859</v>
      </c>
      <c r="G465" s="357">
        <f>'HSH FGD'!$G$56</f>
        <v>20632408</v>
      </c>
      <c r="H465" s="357">
        <f>'HSH FGD'!$H$56</f>
        <v>157130</v>
      </c>
      <c r="I465" s="357">
        <f>'HSH FGD'!$I$56</f>
        <v>1429472</v>
      </c>
      <c r="J465" s="357">
        <f>'HSH FGD'!$J$56</f>
        <v>610648</v>
      </c>
      <c r="K465" s="357">
        <f>'HSH FGD'!$K$56</f>
        <v>0</v>
      </c>
      <c r="L465" s="357">
        <f>'HSH FGD'!$L$56</f>
        <v>0</v>
      </c>
      <c r="M465" s="357">
        <f>'HSH FGD'!$M$56</f>
        <v>57171456</v>
      </c>
    </row>
    <row r="466" spans="1:13" hidden="1" outlineLevel="1">
      <c r="B466" s="392" t="str">
        <f>'HSSA FGD'!$B$2</f>
        <v>The University of Texas Health Science Center at San Antonio</v>
      </c>
      <c r="C466" s="151"/>
      <c r="D466" s="357">
        <f>'HSSA FGD'!$D$56</f>
        <v>158853</v>
      </c>
      <c r="E466" s="357">
        <f>'HSSA FGD'!$E$56</f>
        <v>31484885</v>
      </c>
      <c r="F466" s="357">
        <f>'HSSA FGD'!$F$56</f>
        <v>0</v>
      </c>
      <c r="G466" s="357">
        <f>'HSSA FGD'!$G$56</f>
        <v>12852709</v>
      </c>
      <c r="H466" s="357">
        <f>'HSSA FGD'!$H$56</f>
        <v>38832</v>
      </c>
      <c r="I466" s="357">
        <f>'HSSA FGD'!$I$56</f>
        <v>104936</v>
      </c>
      <c r="J466" s="357">
        <f>'HSSA FGD'!$J$56</f>
        <v>0</v>
      </c>
      <c r="K466" s="357">
        <f>'HSSA FGD'!$K$56</f>
        <v>0</v>
      </c>
      <c r="L466" s="357">
        <f>'HSSA FGD'!$L$56</f>
        <v>0</v>
      </c>
      <c r="M466" s="357">
        <f>'HSSA FGD'!$M$56</f>
        <v>44640215</v>
      </c>
    </row>
    <row r="467" spans="1:13" hidden="1" outlineLevel="1">
      <c r="B467" s="392" t="str">
        <f>'MBG FGD'!$B$2</f>
        <v>The University of Texas Medical Branch at Galveston</v>
      </c>
      <c r="C467" s="151"/>
      <c r="D467" s="357">
        <f>'MBG FGD'!$D$56</f>
        <v>3096861</v>
      </c>
      <c r="E467" s="357">
        <f>'MBG FGD'!$E$56</f>
        <v>30933411</v>
      </c>
      <c r="F467" s="357">
        <f>'MBG FGD'!$F$56</f>
        <v>0</v>
      </c>
      <c r="G467" s="357">
        <f>'MBG FGD'!$G$56</f>
        <v>25439577</v>
      </c>
      <c r="H467" s="357">
        <f>'MBG FGD'!$H$56</f>
        <v>71008</v>
      </c>
      <c r="I467" s="357">
        <f>'MBG FGD'!$I$56</f>
        <v>805334</v>
      </c>
      <c r="J467" s="357">
        <f>'MBG FGD'!$J$56</f>
        <v>3094</v>
      </c>
      <c r="K467" s="357">
        <f>'MBG FGD'!$K$56</f>
        <v>0</v>
      </c>
      <c r="L467" s="357">
        <f>'MBG FGD'!$L$56</f>
        <v>0</v>
      </c>
      <c r="M467" s="357">
        <f>'MBG FGD'!$M$56</f>
        <v>60349285</v>
      </c>
    </row>
    <row r="468" spans="1:13" hidden="1" outlineLevel="1">
      <c r="B468" s="392" t="str">
        <f>'MDA FGD'!$B$2</f>
        <v>The University of Texas M.D. Anderson Cancer Center</v>
      </c>
      <c r="C468" s="151"/>
      <c r="D468" s="357">
        <f>'MDA FGD'!$D$56</f>
        <v>63358625</v>
      </c>
      <c r="E468" s="357">
        <f>'MDA FGD'!$E$56</f>
        <v>114494561</v>
      </c>
      <c r="F468" s="357">
        <f>'MDA FGD'!$F$56</f>
        <v>0</v>
      </c>
      <c r="G468" s="357">
        <f>'MDA FGD'!$G$56</f>
        <v>25087955</v>
      </c>
      <c r="H468" s="357">
        <f>'MDA FGD'!$H$56</f>
        <v>0</v>
      </c>
      <c r="I468" s="357">
        <f>'MDA FGD'!$I$56</f>
        <v>125770</v>
      </c>
      <c r="J468" s="357">
        <f>'MDA FGD'!$J$56</f>
        <v>0</v>
      </c>
      <c r="K468" s="357">
        <f>'MDA FGD'!$K$56</f>
        <v>0</v>
      </c>
      <c r="L468" s="357">
        <f>'MDA FGD'!$L$56</f>
        <v>0</v>
      </c>
      <c r="M468" s="357">
        <f>'MDA FGD'!$M$56</f>
        <v>203066911</v>
      </c>
    </row>
    <row r="469" spans="1:13" hidden="1" outlineLevel="1">
      <c r="B469" s="392" t="str">
        <f>'RGVM FGD'!$B$2</f>
        <v>The University of Texas Rio Grande Valley Medical School (M)</v>
      </c>
      <c r="C469" s="151"/>
      <c r="D469" s="357">
        <f>'RGVM FGD'!$D$56</f>
        <v>0</v>
      </c>
      <c r="E469" s="357">
        <f>'RGVM FGD'!$E$56</f>
        <v>1296917</v>
      </c>
      <c r="F469" s="357">
        <f>'RGVM FGD'!$F$56</f>
        <v>0</v>
      </c>
      <c r="G469" s="357">
        <f>'RGVM FGD'!$G$56</f>
        <v>88482</v>
      </c>
      <c r="H469" s="357">
        <f>'RGVM FGD'!$H$56</f>
        <v>0</v>
      </c>
      <c r="I469" s="357">
        <f>'RGVM FGD'!$I$56</f>
        <v>-192</v>
      </c>
      <c r="J469" s="357">
        <f>'RGVM FGD'!$J$56</f>
        <v>0</v>
      </c>
      <c r="K469" s="357">
        <f>'RGVM FGD'!$K$56</f>
        <v>0</v>
      </c>
      <c r="L469" s="357">
        <f>'RGVM FGD'!$L$56</f>
        <v>0</v>
      </c>
      <c r="M469" s="357">
        <f>'RGVM FGD'!$M$56</f>
        <v>1385207</v>
      </c>
    </row>
    <row r="470" spans="1:13" hidden="1" outlineLevel="1">
      <c r="B470" s="392" t="str">
        <f>'SWM FGD'!$B$2</f>
        <v>The University of Texas Southwestern Medical Center</v>
      </c>
      <c r="C470" s="151"/>
      <c r="D470" s="357">
        <f>'SWM FGD'!$D$56</f>
        <v>265395</v>
      </c>
      <c r="E470" s="357">
        <f>'SWM FGD'!$E$56</f>
        <v>84203398</v>
      </c>
      <c r="F470" s="357">
        <f>'SWM FGD'!$F$56</f>
        <v>2278</v>
      </c>
      <c r="G470" s="357">
        <f>'SWM FGD'!$G$56</f>
        <v>48039863</v>
      </c>
      <c r="H470" s="357">
        <f>'SWM FGD'!$H$56</f>
        <v>33832</v>
      </c>
      <c r="I470" s="357">
        <f>'SWM FGD'!$I$56</f>
        <v>710178</v>
      </c>
      <c r="J470" s="357">
        <f>'SWM FGD'!$J$56</f>
        <v>0</v>
      </c>
      <c r="K470" s="357">
        <f>'SWM FGD'!$K$56</f>
        <v>0</v>
      </c>
      <c r="L470" s="357">
        <f>'SWM FGD'!$L$56</f>
        <v>0</v>
      </c>
      <c r="M470" s="357">
        <f>'SWM FGD'!$M$56</f>
        <v>133254944</v>
      </c>
    </row>
    <row r="471" spans="1:13" hidden="1" outlineLevel="1">
      <c r="B471" s="392" t="str">
        <f>'TAMHSC FGD'!$B$2</f>
        <v>Texas A&amp;M University System Health Science Center</v>
      </c>
      <c r="C471" s="151"/>
      <c r="D471" s="357">
        <f>'TAMHSC FGD'!$D$56</f>
        <v>2203820</v>
      </c>
      <c r="E471" s="357">
        <f>'TAMHSC FGD'!$E$56</f>
        <v>8225639</v>
      </c>
      <c r="F471" s="357">
        <f>'TAMHSC FGD'!$F$56</f>
        <v>0</v>
      </c>
      <c r="G471" s="357">
        <f>'TAMHSC FGD'!$G$56</f>
        <v>325931</v>
      </c>
      <c r="H471" s="357">
        <f>'TAMHSC FGD'!$H$56</f>
        <v>26699</v>
      </c>
      <c r="I471" s="357">
        <f>'TAMHSC FGD'!$I$56</f>
        <v>492704</v>
      </c>
      <c r="J471" s="357">
        <f>'TAMHSC FGD'!$J$56</f>
        <v>0</v>
      </c>
      <c r="K471" s="357">
        <f>'TAMHSC FGD'!$K$56</f>
        <v>0</v>
      </c>
      <c r="L471" s="357">
        <f>'TAMHSC FGD'!$L$56</f>
        <v>0</v>
      </c>
      <c r="M471" s="357">
        <f>'TAMHSC FGD'!$M$56</f>
        <v>11274793</v>
      </c>
    </row>
    <row r="472" spans="1:13" hidden="1" outlineLevel="1">
      <c r="B472" s="392" t="str">
        <f>'THC FGD'!$B$2</f>
        <v>The University of Texas Health Science Center at Tyler</v>
      </c>
      <c r="C472" s="151"/>
      <c r="D472" s="357">
        <f>'THC FGD'!$D$56</f>
        <v>52177</v>
      </c>
      <c r="E472" s="357">
        <f>'THC FGD'!$E$56</f>
        <v>3775489</v>
      </c>
      <c r="F472" s="357">
        <f>'THC FGD'!$F$56</f>
        <v>0</v>
      </c>
      <c r="G472" s="357">
        <f>'THC FGD'!$G$56</f>
        <v>634948</v>
      </c>
      <c r="H472" s="357">
        <f>'THC FGD'!$H$56</f>
        <v>0</v>
      </c>
      <c r="I472" s="357">
        <f>'THC FGD'!$I$56</f>
        <v>0</v>
      </c>
      <c r="J472" s="357">
        <f>'THC FGD'!$J$56</f>
        <v>0</v>
      </c>
      <c r="K472" s="357">
        <f>'THC FGD'!$K$56</f>
        <v>0</v>
      </c>
      <c r="L472" s="357">
        <f>'THC FGD'!$L$56</f>
        <v>0</v>
      </c>
      <c r="M472" s="357">
        <f>'THC FGD'!$M$56</f>
        <v>4462614</v>
      </c>
    </row>
    <row r="473" spans="1:13" hidden="1" outlineLevel="1">
      <c r="B473" s="392" t="str">
        <f>'TTUHSC FGD'!$B$2</f>
        <v>Texas Tech University Health Sciences Center</v>
      </c>
      <c r="C473" s="151"/>
      <c r="D473" s="357">
        <f>'TTUHSC FGD'!$D$56</f>
        <v>499976</v>
      </c>
      <c r="E473" s="357">
        <f>'TTUHSC FGD'!$E$56</f>
        <v>7521288</v>
      </c>
      <c r="F473" s="357">
        <f>'TTUHSC FGD'!$F$56</f>
        <v>38908</v>
      </c>
      <c r="G473" s="357">
        <f>'TTUHSC FGD'!$G$56</f>
        <v>5041200</v>
      </c>
      <c r="H473" s="357">
        <f>'TTUHSC FGD'!$H$56</f>
        <v>74432</v>
      </c>
      <c r="I473" s="357">
        <f>'TTUHSC FGD'!$I$56</f>
        <v>-1231889</v>
      </c>
      <c r="J473" s="357">
        <f>'TTUHSC FGD'!$J$56</f>
        <v>745259</v>
      </c>
      <c r="K473" s="357">
        <f>'TTUHSC FGD'!$K$56</f>
        <v>0</v>
      </c>
      <c r="L473" s="357">
        <f>'TTUHSC FGD'!$L$56</f>
        <v>0</v>
      </c>
      <c r="M473" s="357">
        <f>'TTUHSC FGD'!$M$56</f>
        <v>12689174</v>
      </c>
    </row>
    <row r="474" spans="1:13" hidden="1" outlineLevel="1">
      <c r="B474" s="392" t="str">
        <f>'TTUHSCEP FGD'!$B$2</f>
        <v>Texas Tech University Health Sciences Center at El Paso</v>
      </c>
      <c r="C474" s="151"/>
      <c r="D474" s="357">
        <f>'TTUHSCEP FGD'!$D$56</f>
        <v>32293</v>
      </c>
      <c r="E474" s="357">
        <f>'TTUHSCEP FGD'!$E$56</f>
        <v>5374382</v>
      </c>
      <c r="F474" s="357">
        <f>'TTUHSCEP FGD'!$F$56</f>
        <v>7201</v>
      </c>
      <c r="G474" s="357">
        <f>'TTUHSCEP FGD'!$G$56</f>
        <v>1106443</v>
      </c>
      <c r="H474" s="357">
        <f>'TTUHSCEP FGD'!$H$56</f>
        <v>6619</v>
      </c>
      <c r="I474" s="357">
        <f>'TTUHSCEP FGD'!$I$56</f>
        <v>-749572</v>
      </c>
      <c r="J474" s="357">
        <f>'TTUHSCEP FGD'!$J$56</f>
        <v>35410</v>
      </c>
      <c r="K474" s="357">
        <f>'TTUHSCEP FGD'!$K$56</f>
        <v>0</v>
      </c>
      <c r="L474" s="357">
        <f>'TTUHSCEP FGD'!$L$56</f>
        <v>0</v>
      </c>
      <c r="M474" s="357">
        <f>'TTUHSCEP FGD'!$M$56</f>
        <v>5812776</v>
      </c>
    </row>
    <row r="475" spans="1:13" hidden="1" outlineLevel="1">
      <c r="B475" s="392" t="str">
        <f>'UNTHSC FGD'!$B$2</f>
        <v>University of North Texas Health Science Center at Fort Worth</v>
      </c>
      <c r="C475" s="151"/>
      <c r="D475" s="357">
        <f>'UNTHSC FGD'!$D$56</f>
        <v>69444</v>
      </c>
      <c r="E475" s="357">
        <f>'UNTHSC FGD'!$E$56</f>
        <v>4290849</v>
      </c>
      <c r="F475" s="357">
        <f>'UNTHSC FGD'!$F$56</f>
        <v>0</v>
      </c>
      <c r="G475" s="357">
        <f>'UNTHSC FGD'!$G$56</f>
        <v>36969</v>
      </c>
      <c r="H475" s="357">
        <f>'UNTHSC FGD'!$H$56</f>
        <v>23052</v>
      </c>
      <c r="I475" s="357">
        <f>'UNTHSC FGD'!$I$56</f>
        <v>3624867</v>
      </c>
      <c r="J475" s="357">
        <f>'UNTHSC FGD'!$J$56</f>
        <v>0</v>
      </c>
      <c r="K475" s="357">
        <f>'UNTHSC FGD'!$K$56</f>
        <v>209626</v>
      </c>
      <c r="L475" s="357">
        <f>'UNTHSC FGD'!$L$56</f>
        <v>0</v>
      </c>
      <c r="M475" s="357">
        <f>'UNTHSC FGD'!$M$56</f>
        <v>8254807</v>
      </c>
    </row>
    <row r="476" spans="1:13" collapsed="1">
      <c r="A476" s="147">
        <v>39</v>
      </c>
      <c r="B476" s="149" t="s">
        <v>40</v>
      </c>
      <c r="D476" s="355">
        <f t="shared" ref="D476:M476" si="34">SUM(D464:D475)</f>
        <v>72835960</v>
      </c>
      <c r="E476" s="355">
        <f t="shared" si="34"/>
        <v>322778279</v>
      </c>
      <c r="F476" s="355">
        <f t="shared" si="34"/>
        <v>924246</v>
      </c>
      <c r="G476" s="355">
        <f t="shared" si="34"/>
        <v>140399471</v>
      </c>
      <c r="H476" s="355">
        <f t="shared" si="34"/>
        <v>431604</v>
      </c>
      <c r="I476" s="355">
        <f t="shared" si="34"/>
        <v>5311499</v>
      </c>
      <c r="J476" s="355">
        <f t="shared" si="34"/>
        <v>1394411</v>
      </c>
      <c r="K476" s="355">
        <f t="shared" si="34"/>
        <v>209626</v>
      </c>
      <c r="L476" s="355">
        <f t="shared" si="34"/>
        <v>0</v>
      </c>
      <c r="M476" s="357">
        <f t="shared" si="34"/>
        <v>544285096</v>
      </c>
    </row>
    <row r="477" spans="1:13" hidden="1" outlineLevel="1">
      <c r="B477" s="392" t="str">
        <f>'AUSM FGD'!$B$2</f>
        <v>The University of Texas at Austin Medical School (M)</v>
      </c>
      <c r="D477" s="355">
        <f>'AUSM FGD'!$D$57</f>
        <v>0</v>
      </c>
      <c r="E477" s="355">
        <f>'AUSM FGD'!$E$57</f>
        <v>35838040</v>
      </c>
      <c r="F477" s="355">
        <f>'AUSM FGD'!$F$57</f>
        <v>0</v>
      </c>
      <c r="G477" s="355">
        <f>'AUSM FGD'!$G$57</f>
        <v>43830</v>
      </c>
      <c r="H477" s="355">
        <f>'AUSM FGD'!$H$57</f>
        <v>0</v>
      </c>
      <c r="I477" s="355">
        <f>'AUSM FGD'!$I$57</f>
        <v>0</v>
      </c>
      <c r="J477" s="355">
        <f>'AUSM FGD'!$J$57</f>
        <v>0</v>
      </c>
      <c r="K477" s="355">
        <f>'AUSM FGD'!$K$57</f>
        <v>0</v>
      </c>
      <c r="L477" s="355">
        <f>'AUSM FGD'!$L$57</f>
        <v>0</v>
      </c>
      <c r="M477" s="357">
        <f>'AUSM FGD'!$M$57</f>
        <v>35881870</v>
      </c>
    </row>
    <row r="478" spans="1:13" hidden="1" outlineLevel="1">
      <c r="B478" s="392" t="str">
        <f>'HSH FGD'!$B$2</f>
        <v>The University of Texas Health Science Center at Houston</v>
      </c>
      <c r="D478" s="355">
        <f>'HSH FGD'!$D$57</f>
        <v>0</v>
      </c>
      <c r="E478" s="355">
        <f>'HSH FGD'!$E$57</f>
        <v>418521842</v>
      </c>
      <c r="F478" s="355">
        <f>'HSH FGD'!$F$57</f>
        <v>0</v>
      </c>
      <c r="G478" s="355">
        <f>'HSH FGD'!$G$57</f>
        <v>17857540</v>
      </c>
      <c r="H478" s="355">
        <f>'HSH FGD'!$H$57</f>
        <v>0</v>
      </c>
      <c r="I478" s="355">
        <f>'HSH FGD'!$I$57</f>
        <v>0</v>
      </c>
      <c r="J478" s="355">
        <f>'HSH FGD'!$J$57</f>
        <v>0</v>
      </c>
      <c r="K478" s="355">
        <f>'HSH FGD'!$K$57</f>
        <v>0</v>
      </c>
      <c r="L478" s="355">
        <f>'HSH FGD'!$L$57</f>
        <v>0</v>
      </c>
      <c r="M478" s="357">
        <f>'HSH FGD'!$M$57</f>
        <v>436379382</v>
      </c>
    </row>
    <row r="479" spans="1:13" hidden="1" outlineLevel="1">
      <c r="B479" s="392" t="str">
        <f>'HSSA FGD'!$B$2</f>
        <v>The University of Texas Health Science Center at San Antonio</v>
      </c>
      <c r="D479" s="355">
        <f>'HSSA FGD'!$D$57</f>
        <v>0</v>
      </c>
      <c r="E479" s="355">
        <f>'HSSA FGD'!$E$57</f>
        <v>164085244</v>
      </c>
      <c r="F479" s="355">
        <f>'HSSA FGD'!$F$57</f>
        <v>0</v>
      </c>
      <c r="G479" s="355">
        <f>'HSSA FGD'!$G$57</f>
        <v>2311741</v>
      </c>
      <c r="H479" s="355">
        <f>'HSSA FGD'!$H$57</f>
        <v>0</v>
      </c>
      <c r="I479" s="355">
        <f>'HSSA FGD'!$I$57</f>
        <v>0</v>
      </c>
      <c r="J479" s="355">
        <f>'HSSA FGD'!$J$57</f>
        <v>0</v>
      </c>
      <c r="K479" s="355">
        <f>'HSSA FGD'!$K$57</f>
        <v>0</v>
      </c>
      <c r="L479" s="355">
        <f>'HSSA FGD'!$L$57</f>
        <v>0</v>
      </c>
      <c r="M479" s="357">
        <f>'HSSA FGD'!$M$57</f>
        <v>166396985</v>
      </c>
    </row>
    <row r="480" spans="1:13" hidden="1" outlineLevel="1">
      <c r="B480" s="392" t="str">
        <f>'MBG FGD'!$B$2</f>
        <v>The University of Texas Medical Branch at Galveston</v>
      </c>
      <c r="D480" s="355">
        <f>'MBG FGD'!$D$57</f>
        <v>15000</v>
      </c>
      <c r="E480" s="355">
        <f>'MBG FGD'!$E$57</f>
        <v>554766</v>
      </c>
      <c r="F480" s="355">
        <f>'MBG FGD'!$F$57</f>
        <v>0</v>
      </c>
      <c r="G480" s="355">
        <f>'MBG FGD'!$G$57</f>
        <v>476501</v>
      </c>
      <c r="H480" s="355">
        <f>'MBG FGD'!$H$57</f>
        <v>0</v>
      </c>
      <c r="I480" s="355">
        <f>'MBG FGD'!$I$57</f>
        <v>0</v>
      </c>
      <c r="J480" s="355">
        <f>'MBG FGD'!$J$57</f>
        <v>0</v>
      </c>
      <c r="K480" s="355">
        <f>'MBG FGD'!$K$57</f>
        <v>0</v>
      </c>
      <c r="L480" s="355">
        <f>'MBG FGD'!$L$57</f>
        <v>0</v>
      </c>
      <c r="M480" s="357">
        <f>'MBG FGD'!$M$57</f>
        <v>1046267</v>
      </c>
    </row>
    <row r="481" spans="1:13" hidden="1" outlineLevel="1">
      <c r="B481" s="392" t="str">
        <f>'MDA FGD'!$B$2</f>
        <v>The University of Texas M.D. Anderson Cancer Center</v>
      </c>
      <c r="D481" s="355">
        <f>'MDA FGD'!$D$57</f>
        <v>0</v>
      </c>
      <c r="E481" s="355">
        <f>'MDA FGD'!$E$57</f>
        <v>0</v>
      </c>
      <c r="F481" s="355">
        <f>'MDA FGD'!$F$57</f>
        <v>0</v>
      </c>
      <c r="G481" s="355">
        <f>'MDA FGD'!$G$57</f>
        <v>0</v>
      </c>
      <c r="H481" s="355">
        <f>'MDA FGD'!$H$57</f>
        <v>0</v>
      </c>
      <c r="I481" s="355">
        <f>'MDA FGD'!$I$57</f>
        <v>0</v>
      </c>
      <c r="J481" s="355">
        <f>'MDA FGD'!$J$57</f>
        <v>0</v>
      </c>
      <c r="K481" s="355">
        <f>'MDA FGD'!$K$57</f>
        <v>0</v>
      </c>
      <c r="L481" s="355">
        <f>'MDA FGD'!$L$57</f>
        <v>0</v>
      </c>
      <c r="M481" s="357">
        <f>'MDA FGD'!$M$57</f>
        <v>0</v>
      </c>
    </row>
    <row r="482" spans="1:13" hidden="1" outlineLevel="1">
      <c r="B482" s="392" t="str">
        <f>'RGVM FGD'!$B$2</f>
        <v>The University of Texas Rio Grande Valley Medical School (M)</v>
      </c>
      <c r="D482" s="355">
        <f>'RGVM FGD'!$D$57</f>
        <v>0</v>
      </c>
      <c r="E482" s="355">
        <f>'RGVM FGD'!$E$57</f>
        <v>26928876</v>
      </c>
      <c r="F482" s="355">
        <f>'RGVM FGD'!$F$57</f>
        <v>0</v>
      </c>
      <c r="G482" s="355">
        <f>'RGVM FGD'!$G$57</f>
        <v>0</v>
      </c>
      <c r="H482" s="355">
        <f>'RGVM FGD'!$H$57</f>
        <v>0</v>
      </c>
      <c r="I482" s="355">
        <f>'RGVM FGD'!$I$57</f>
        <v>0</v>
      </c>
      <c r="J482" s="355">
        <f>'RGVM FGD'!$J$57</f>
        <v>0</v>
      </c>
      <c r="K482" s="355">
        <f>'RGVM FGD'!$K$57</f>
        <v>0</v>
      </c>
      <c r="L482" s="355">
        <f>'RGVM FGD'!$L$57</f>
        <v>0</v>
      </c>
      <c r="M482" s="357">
        <f>'RGVM FGD'!$M$57</f>
        <v>26928876</v>
      </c>
    </row>
    <row r="483" spans="1:13" hidden="1" outlineLevel="1">
      <c r="B483" s="392" t="str">
        <f>'SWM FGD'!$B$2</f>
        <v>The University of Texas Southwestern Medical Center</v>
      </c>
      <c r="D483" s="355">
        <f>'SWM FGD'!$D$57</f>
        <v>0</v>
      </c>
      <c r="E483" s="355">
        <f>'SWM FGD'!$E$57</f>
        <v>208653954</v>
      </c>
      <c r="F483" s="355">
        <f>'SWM FGD'!$F$57</f>
        <v>0</v>
      </c>
      <c r="G483" s="355">
        <f>'SWM FGD'!$G$57</f>
        <v>377925</v>
      </c>
      <c r="H483" s="355">
        <f>'SWM FGD'!$H$57</f>
        <v>0</v>
      </c>
      <c r="I483" s="355">
        <f>'SWM FGD'!$I$57</f>
        <v>0</v>
      </c>
      <c r="J483" s="355">
        <f>'SWM FGD'!$J$57</f>
        <v>0</v>
      </c>
      <c r="K483" s="355">
        <f>'SWM FGD'!$K$57</f>
        <v>0</v>
      </c>
      <c r="L483" s="355">
        <f>'SWM FGD'!$L$57</f>
        <v>0</v>
      </c>
      <c r="M483" s="357">
        <f>'SWM FGD'!$M$57</f>
        <v>209031879</v>
      </c>
    </row>
    <row r="484" spans="1:13" hidden="1" outlineLevel="1">
      <c r="B484" s="392" t="str">
        <f>'TAMHSC FGD'!$B$2</f>
        <v>Texas A&amp;M University System Health Science Center</v>
      </c>
      <c r="D484" s="355">
        <f>'TAMHSC FGD'!$D$57</f>
        <v>0</v>
      </c>
      <c r="E484" s="355">
        <f>'TAMHSC FGD'!$E$57</f>
        <v>0</v>
      </c>
      <c r="F484" s="355">
        <f>'TAMHSC FGD'!$F$57</f>
        <v>0</v>
      </c>
      <c r="G484" s="355">
        <f>'TAMHSC FGD'!$G$57</f>
        <v>0</v>
      </c>
      <c r="H484" s="355">
        <f>'TAMHSC FGD'!$H$57</f>
        <v>0</v>
      </c>
      <c r="I484" s="355">
        <f>'TAMHSC FGD'!$I$57</f>
        <v>0</v>
      </c>
      <c r="J484" s="355">
        <f>'TAMHSC FGD'!$J$57</f>
        <v>0</v>
      </c>
      <c r="K484" s="355">
        <f>'TAMHSC FGD'!$K$57</f>
        <v>0</v>
      </c>
      <c r="L484" s="355">
        <f>'TAMHSC FGD'!$L$57</f>
        <v>0</v>
      </c>
      <c r="M484" s="357">
        <f>'TAMHSC FGD'!$M$57</f>
        <v>0</v>
      </c>
    </row>
    <row r="485" spans="1:13" hidden="1" outlineLevel="1">
      <c r="B485" s="392" t="str">
        <f>'THC FGD'!$B$2</f>
        <v>The University of Texas Health Science Center at Tyler</v>
      </c>
      <c r="D485" s="355">
        <f>'THC FGD'!$D$57</f>
        <v>0</v>
      </c>
      <c r="E485" s="355">
        <f>'THC FGD'!$E$57</f>
        <v>0</v>
      </c>
      <c r="F485" s="355">
        <f>'THC FGD'!$F$57</f>
        <v>0</v>
      </c>
      <c r="G485" s="355">
        <f>'THC FGD'!$G$57</f>
        <v>0</v>
      </c>
      <c r="H485" s="355">
        <f>'THC FGD'!$H$57</f>
        <v>0</v>
      </c>
      <c r="I485" s="355">
        <f>'THC FGD'!$I$57</f>
        <v>0</v>
      </c>
      <c r="J485" s="355">
        <f>'THC FGD'!$J$57</f>
        <v>0</v>
      </c>
      <c r="K485" s="355">
        <f>'THC FGD'!$K$57</f>
        <v>0</v>
      </c>
      <c r="L485" s="355">
        <f>'THC FGD'!$L$57</f>
        <v>0</v>
      </c>
      <c r="M485" s="357">
        <f>'THC FGD'!$M$57</f>
        <v>0</v>
      </c>
    </row>
    <row r="486" spans="1:13" hidden="1" outlineLevel="1">
      <c r="B486" s="392" t="str">
        <f>'TTUHSC FGD'!$B$2</f>
        <v>Texas Tech University Health Sciences Center</v>
      </c>
      <c r="D486" s="355">
        <f>'TTUHSC FGD'!$D$57</f>
        <v>0</v>
      </c>
      <c r="E486" s="355">
        <f>'TTUHSC FGD'!$E$57</f>
        <v>27850309</v>
      </c>
      <c r="F486" s="355">
        <f>'TTUHSC FGD'!$F$57</f>
        <v>0</v>
      </c>
      <c r="G486" s="355">
        <f>'TTUHSC FGD'!$G$57</f>
        <v>31077251</v>
      </c>
      <c r="H486" s="355">
        <f>'TTUHSC FGD'!$H$57</f>
        <v>0</v>
      </c>
      <c r="I486" s="355">
        <f>'TTUHSC FGD'!$I$57</f>
        <v>0</v>
      </c>
      <c r="J486" s="355">
        <f>'TTUHSC FGD'!$J$57</f>
        <v>0</v>
      </c>
      <c r="K486" s="355">
        <f>'TTUHSC FGD'!$K$57</f>
        <v>0</v>
      </c>
      <c r="L486" s="355">
        <f>'TTUHSC FGD'!$L$57</f>
        <v>0</v>
      </c>
      <c r="M486" s="357">
        <f>'TTUHSC FGD'!$M$57</f>
        <v>58927560</v>
      </c>
    </row>
    <row r="487" spans="1:13" hidden="1" outlineLevel="1">
      <c r="B487" s="392" t="str">
        <f>'TTUHSCEP FGD'!$B$2</f>
        <v>Texas Tech University Health Sciences Center at El Paso</v>
      </c>
      <c r="D487" s="355">
        <f>'TTUHSCEP FGD'!$D$57</f>
        <v>0</v>
      </c>
      <c r="E487" s="355">
        <f>'TTUHSCEP FGD'!$E$57</f>
        <v>1588687</v>
      </c>
      <c r="F487" s="355">
        <f>'TTUHSCEP FGD'!$F$57</f>
        <v>0</v>
      </c>
      <c r="G487" s="355">
        <f>'TTUHSCEP FGD'!$G$57</f>
        <v>3674533</v>
      </c>
      <c r="H487" s="355">
        <f>'TTUHSCEP FGD'!$H$57</f>
        <v>0</v>
      </c>
      <c r="I487" s="355">
        <f>'TTUHSCEP FGD'!$I$57</f>
        <v>0</v>
      </c>
      <c r="J487" s="355">
        <f>'TTUHSCEP FGD'!$J$57</f>
        <v>0</v>
      </c>
      <c r="K487" s="355">
        <f>'TTUHSCEP FGD'!$K$57</f>
        <v>0</v>
      </c>
      <c r="L487" s="355">
        <f>'TTUHSCEP FGD'!$L$57</f>
        <v>0</v>
      </c>
      <c r="M487" s="357">
        <f>'TTUHSCEP FGD'!$M$57</f>
        <v>5263220</v>
      </c>
    </row>
    <row r="488" spans="1:13" hidden="1" outlineLevel="1">
      <c r="B488" s="392" t="str">
        <f>'UNTHSC FGD'!$B$2</f>
        <v>University of North Texas Health Science Center at Fort Worth</v>
      </c>
      <c r="D488" s="355">
        <f>'UNTHSC FGD'!$D$57</f>
        <v>0</v>
      </c>
      <c r="E488" s="355">
        <f>'UNTHSC FGD'!$E$57</f>
        <v>595823</v>
      </c>
      <c r="F488" s="355">
        <f>'UNTHSC FGD'!$F$57</f>
        <v>0</v>
      </c>
      <c r="G488" s="355">
        <f>'UNTHSC FGD'!$G$57</f>
        <v>203734</v>
      </c>
      <c r="H488" s="355">
        <f>'UNTHSC FGD'!$H$57</f>
        <v>0</v>
      </c>
      <c r="I488" s="355">
        <f>'UNTHSC FGD'!$I$57</f>
        <v>0</v>
      </c>
      <c r="J488" s="355">
        <f>'UNTHSC FGD'!$J$57</f>
        <v>0</v>
      </c>
      <c r="K488" s="355">
        <f>'UNTHSC FGD'!$K$57</f>
        <v>0</v>
      </c>
      <c r="L488" s="355">
        <f>'UNTHSC FGD'!$L$57</f>
        <v>0</v>
      </c>
      <c r="M488" s="357">
        <f>'UNTHSC FGD'!$M$57</f>
        <v>799557</v>
      </c>
    </row>
    <row r="489" spans="1:13" collapsed="1">
      <c r="A489" s="147">
        <v>40</v>
      </c>
      <c r="B489" s="149" t="s">
        <v>9</v>
      </c>
      <c r="D489" s="355">
        <f t="shared" ref="D489:M489" si="35">SUM(D477:D488)</f>
        <v>15000</v>
      </c>
      <c r="E489" s="355">
        <f t="shared" si="35"/>
        <v>884617541</v>
      </c>
      <c r="F489" s="355">
        <f t="shared" si="35"/>
        <v>0</v>
      </c>
      <c r="G489" s="355">
        <f t="shared" si="35"/>
        <v>56023055</v>
      </c>
      <c r="H489" s="355">
        <f t="shared" si="35"/>
        <v>0</v>
      </c>
      <c r="I489" s="355">
        <f t="shared" si="35"/>
        <v>0</v>
      </c>
      <c r="J489" s="355">
        <f t="shared" si="35"/>
        <v>0</v>
      </c>
      <c r="K489" s="355">
        <f t="shared" si="35"/>
        <v>0</v>
      </c>
      <c r="L489" s="355">
        <f t="shared" si="35"/>
        <v>0</v>
      </c>
      <c r="M489" s="357">
        <f t="shared" si="35"/>
        <v>940655596</v>
      </c>
    </row>
    <row r="490" spans="1:13" hidden="1" outlineLevel="1">
      <c r="B490" s="392" t="str">
        <f>'AUSM FGD'!$B$2</f>
        <v>The University of Texas at Austin Medical School (M)</v>
      </c>
      <c r="D490" s="355">
        <f>'AUSM FGD'!$D$58</f>
        <v>0</v>
      </c>
      <c r="E490" s="355">
        <f>'AUSM FGD'!$E$58</f>
        <v>9805796</v>
      </c>
      <c r="F490" s="355">
        <f>'AUSM FGD'!$F$58</f>
        <v>0</v>
      </c>
      <c r="G490" s="355">
        <f>'AUSM FGD'!$G$58</f>
        <v>18373790</v>
      </c>
      <c r="H490" s="355">
        <f>'AUSM FGD'!$H$58</f>
        <v>0</v>
      </c>
      <c r="I490" s="355">
        <f>'AUSM FGD'!$I$58</f>
        <v>0</v>
      </c>
      <c r="J490" s="355">
        <f>'AUSM FGD'!$J$58</f>
        <v>0</v>
      </c>
      <c r="K490" s="355">
        <f>'AUSM FGD'!$K$58</f>
        <v>0</v>
      </c>
      <c r="L490" s="355">
        <f>'AUSM FGD'!$L$58</f>
        <v>0</v>
      </c>
      <c r="M490" s="357">
        <f>'AUSM FGD'!$M$58</f>
        <v>28179586</v>
      </c>
    </row>
    <row r="491" spans="1:13" hidden="1" outlineLevel="1">
      <c r="B491" s="392" t="str">
        <f>'HSH FGD'!$B$2</f>
        <v>The University of Texas Health Science Center at Houston</v>
      </c>
      <c r="D491" s="355">
        <f>'HSH FGD'!$D$58</f>
        <v>0</v>
      </c>
      <c r="E491" s="355">
        <f>'HSH FGD'!$E$58</f>
        <v>69333407</v>
      </c>
      <c r="F491" s="355">
        <f>'HSH FGD'!$F$58</f>
        <v>0</v>
      </c>
      <c r="G491" s="355">
        <f>'HSH FGD'!$G$58</f>
        <v>95048666</v>
      </c>
      <c r="H491" s="355">
        <f>'HSH FGD'!$H$58</f>
        <v>0</v>
      </c>
      <c r="I491" s="355">
        <f>'HSH FGD'!$I$58</f>
        <v>0</v>
      </c>
      <c r="J491" s="355">
        <f>'HSH FGD'!$J$58</f>
        <v>15520</v>
      </c>
      <c r="K491" s="355">
        <f>'HSH FGD'!$K$58</f>
        <v>0</v>
      </c>
      <c r="L491" s="355">
        <f>'HSH FGD'!$L$58</f>
        <v>0</v>
      </c>
      <c r="M491" s="357">
        <f>'HSH FGD'!$M$58</f>
        <v>164397593</v>
      </c>
    </row>
    <row r="492" spans="1:13" hidden="1" outlineLevel="1">
      <c r="B492" s="392" t="str">
        <f>'HSSA FGD'!$B$2</f>
        <v>The University of Texas Health Science Center at San Antonio</v>
      </c>
      <c r="D492" s="355">
        <f>'HSSA FGD'!$D$58</f>
        <v>0</v>
      </c>
      <c r="E492" s="355">
        <f>'HSSA FGD'!$E$58</f>
        <v>4969630</v>
      </c>
      <c r="F492" s="355">
        <f>'HSSA FGD'!$F$58</f>
        <v>0</v>
      </c>
      <c r="G492" s="355">
        <f>'HSSA FGD'!$G$58</f>
        <v>34216170</v>
      </c>
      <c r="H492" s="355">
        <f>'HSSA FGD'!$H$58</f>
        <v>0</v>
      </c>
      <c r="I492" s="355">
        <f>'HSSA FGD'!$I$58</f>
        <v>0</v>
      </c>
      <c r="J492" s="355">
        <f>'HSSA FGD'!$J$58</f>
        <v>500000</v>
      </c>
      <c r="K492" s="355">
        <f>'HSSA FGD'!$K$58</f>
        <v>0</v>
      </c>
      <c r="L492" s="355">
        <f>'HSSA FGD'!$L$58</f>
        <v>0</v>
      </c>
      <c r="M492" s="357">
        <f>'HSSA FGD'!$M$58</f>
        <v>39685800</v>
      </c>
    </row>
    <row r="493" spans="1:13" hidden="1" outlineLevel="1">
      <c r="B493" s="392" t="str">
        <f>'MBG FGD'!$B$2</f>
        <v>The University of Texas Medical Branch at Galveston</v>
      </c>
      <c r="D493" s="355">
        <f>'MBG FGD'!$D$58</f>
        <v>1693912</v>
      </c>
      <c r="E493" s="355">
        <f>'MBG FGD'!$E$58</f>
        <v>46363708</v>
      </c>
      <c r="F493" s="355">
        <f>'MBG FGD'!$F$58</f>
        <v>490621</v>
      </c>
      <c r="G493" s="355">
        <f>'MBG FGD'!$G$58</f>
        <v>22714017</v>
      </c>
      <c r="H493" s="355">
        <f>'MBG FGD'!$H$58</f>
        <v>0</v>
      </c>
      <c r="I493" s="355">
        <f>'MBG FGD'!$I$58</f>
        <v>0</v>
      </c>
      <c r="J493" s="355">
        <f>'MBG FGD'!$J$58</f>
        <v>62260041</v>
      </c>
      <c r="K493" s="355">
        <f>'MBG FGD'!$K$58</f>
        <v>0</v>
      </c>
      <c r="L493" s="355">
        <f>'MBG FGD'!$L$58</f>
        <v>0</v>
      </c>
      <c r="M493" s="357">
        <f>'MBG FGD'!$M$58</f>
        <v>133522299</v>
      </c>
    </row>
    <row r="494" spans="1:13" hidden="1" outlineLevel="1">
      <c r="B494" s="392" t="str">
        <f>'MDA FGD'!$B$2</f>
        <v>The University of Texas M.D. Anderson Cancer Center</v>
      </c>
      <c r="D494" s="355">
        <f>'MDA FGD'!$D$58</f>
        <v>0</v>
      </c>
      <c r="E494" s="355">
        <f>'MDA FGD'!$E$58</f>
        <v>51903686</v>
      </c>
      <c r="F494" s="355">
        <f>'MDA FGD'!$F$58</f>
        <v>0</v>
      </c>
      <c r="G494" s="355">
        <f>'MDA FGD'!$G$58</f>
        <v>222463821</v>
      </c>
      <c r="H494" s="355">
        <f>'MDA FGD'!$H$58</f>
        <v>0</v>
      </c>
      <c r="I494" s="355">
        <f>'MDA FGD'!$I$58</f>
        <v>0</v>
      </c>
      <c r="J494" s="355">
        <f>'MDA FGD'!$J$58</f>
        <v>5521</v>
      </c>
      <c r="K494" s="355">
        <f>'MDA FGD'!$K$58</f>
        <v>0</v>
      </c>
      <c r="L494" s="355">
        <f>'MDA FGD'!$L$58</f>
        <v>0</v>
      </c>
      <c r="M494" s="357">
        <f>'MDA FGD'!$M$58</f>
        <v>274373028</v>
      </c>
    </row>
    <row r="495" spans="1:13" hidden="1" outlineLevel="1">
      <c r="B495" s="392" t="str">
        <f>'RGVM FGD'!$B$2</f>
        <v>The University of Texas Rio Grande Valley Medical School (M)</v>
      </c>
      <c r="D495" s="355">
        <f>'RGVM FGD'!$D$58</f>
        <v>0</v>
      </c>
      <c r="E495" s="355">
        <f>'RGVM FGD'!$E$58</f>
        <v>340030</v>
      </c>
      <c r="F495" s="355">
        <f>'RGVM FGD'!$F$58</f>
        <v>0</v>
      </c>
      <c r="G495" s="355">
        <f>'RGVM FGD'!$G$58</f>
        <v>3807164</v>
      </c>
      <c r="H495" s="355">
        <f>'RGVM FGD'!$H$58</f>
        <v>0</v>
      </c>
      <c r="I495" s="355">
        <f>'RGVM FGD'!$I$58</f>
        <v>0</v>
      </c>
      <c r="J495" s="355">
        <f>'RGVM FGD'!$J$58</f>
        <v>0</v>
      </c>
      <c r="K495" s="355">
        <f>'RGVM FGD'!$K$58</f>
        <v>0</v>
      </c>
      <c r="L495" s="355">
        <f>'RGVM FGD'!$L$58</f>
        <v>0</v>
      </c>
      <c r="M495" s="357">
        <f>'RGVM FGD'!$M$58</f>
        <v>4147194</v>
      </c>
    </row>
    <row r="496" spans="1:13" hidden="1" outlineLevel="1">
      <c r="B496" s="392" t="str">
        <f>'SWM FGD'!$B$2</f>
        <v>The University of Texas Southwestern Medical Center</v>
      </c>
      <c r="D496" s="355">
        <f>'SWM FGD'!$D$58</f>
        <v>0</v>
      </c>
      <c r="E496" s="355">
        <f>'SWM FGD'!$E$58</f>
        <v>35676031</v>
      </c>
      <c r="F496" s="355">
        <f>'SWM FGD'!$F$58</f>
        <v>0</v>
      </c>
      <c r="G496" s="355">
        <f>'SWM FGD'!$G$58</f>
        <v>136716563</v>
      </c>
      <c r="H496" s="355">
        <f>'SWM FGD'!$H$58</f>
        <v>0</v>
      </c>
      <c r="I496" s="355">
        <f>'SWM FGD'!$I$58</f>
        <v>0</v>
      </c>
      <c r="J496" s="355">
        <f>'SWM FGD'!$J$58</f>
        <v>0</v>
      </c>
      <c r="K496" s="355">
        <f>'SWM FGD'!$K$58</f>
        <v>0</v>
      </c>
      <c r="L496" s="355">
        <f>'SWM FGD'!$L$58</f>
        <v>0</v>
      </c>
      <c r="M496" s="357">
        <f>'SWM FGD'!$M$58</f>
        <v>172392594</v>
      </c>
    </row>
    <row r="497" spans="1:13" hidden="1" outlineLevel="1">
      <c r="B497" s="392" t="str">
        <f>'TAMHSC FGD'!$B$2</f>
        <v>Texas A&amp;M University System Health Science Center</v>
      </c>
      <c r="D497" s="355">
        <f>'TAMHSC FGD'!$D$58</f>
        <v>0</v>
      </c>
      <c r="E497" s="355">
        <f>'TAMHSC FGD'!$E$58</f>
        <v>1170058</v>
      </c>
      <c r="F497" s="355">
        <f>'TAMHSC FGD'!$F$58</f>
        <v>0</v>
      </c>
      <c r="G497" s="355">
        <f>'TAMHSC FGD'!$G$58</f>
        <v>11402336</v>
      </c>
      <c r="H497" s="355">
        <f>'TAMHSC FGD'!$H$58</f>
        <v>0</v>
      </c>
      <c r="I497" s="355">
        <f>'TAMHSC FGD'!$I$58</f>
        <v>500000</v>
      </c>
      <c r="J497" s="355">
        <f>'TAMHSC FGD'!$J$58</f>
        <v>0</v>
      </c>
      <c r="K497" s="355">
        <f>'TAMHSC FGD'!$K$58</f>
        <v>0</v>
      </c>
      <c r="L497" s="355">
        <f>'TAMHSC FGD'!$L$58</f>
        <v>0</v>
      </c>
      <c r="M497" s="357">
        <f>'TAMHSC FGD'!$M$58</f>
        <v>13072394</v>
      </c>
    </row>
    <row r="498" spans="1:13" hidden="1" outlineLevel="1">
      <c r="B498" s="392" t="str">
        <f>'THC FGD'!$B$2</f>
        <v>The University of Texas Health Science Center at Tyler</v>
      </c>
      <c r="D498" s="355">
        <f>'THC FGD'!$D$58</f>
        <v>1138377</v>
      </c>
      <c r="E498" s="355">
        <f>'THC FGD'!$E$58</f>
        <v>4848342</v>
      </c>
      <c r="F498" s="355">
        <f>'THC FGD'!$F$58</f>
        <v>0</v>
      </c>
      <c r="G498" s="355">
        <f>'THC FGD'!$G$58</f>
        <v>4725930</v>
      </c>
      <c r="H498" s="355">
        <f>'THC FGD'!$H$58</f>
        <v>0</v>
      </c>
      <c r="I498" s="355">
        <f>'THC FGD'!$I$58</f>
        <v>0</v>
      </c>
      <c r="J498" s="355">
        <f>'THC FGD'!$J$58</f>
        <v>617641</v>
      </c>
      <c r="K498" s="355">
        <f>'THC FGD'!$K$58</f>
        <v>0</v>
      </c>
      <c r="L498" s="355">
        <f>'THC FGD'!$L$58</f>
        <v>0</v>
      </c>
      <c r="M498" s="357">
        <f>'THC FGD'!$M$58</f>
        <v>11330290</v>
      </c>
    </row>
    <row r="499" spans="1:13" hidden="1" outlineLevel="1">
      <c r="B499" s="392" t="str">
        <f>'TTUHSC FGD'!$B$2</f>
        <v>Texas Tech University Health Sciences Center</v>
      </c>
      <c r="D499" s="355">
        <f>'TTUHSC FGD'!$D$58</f>
        <v>12000</v>
      </c>
      <c r="E499" s="355">
        <f>'TTUHSC FGD'!$E$58</f>
        <v>41889115</v>
      </c>
      <c r="F499" s="355">
        <f>'TTUHSC FGD'!$F$58</f>
        <v>0</v>
      </c>
      <c r="G499" s="355">
        <f>'TTUHSC FGD'!$G$58</f>
        <v>45698641</v>
      </c>
      <c r="H499" s="355">
        <f>'TTUHSC FGD'!$H$58</f>
        <v>0</v>
      </c>
      <c r="I499" s="355">
        <f>'TTUHSC FGD'!$I$58</f>
        <v>0</v>
      </c>
      <c r="J499" s="355">
        <f>'TTUHSC FGD'!$J$58</f>
        <v>500</v>
      </c>
      <c r="K499" s="355">
        <f>'TTUHSC FGD'!$K$58</f>
        <v>0</v>
      </c>
      <c r="L499" s="355">
        <f>'TTUHSC FGD'!$L$58</f>
        <v>0</v>
      </c>
      <c r="M499" s="357">
        <f>'TTUHSC FGD'!$M$58</f>
        <v>87600256</v>
      </c>
    </row>
    <row r="500" spans="1:13" hidden="1" outlineLevel="1">
      <c r="B500" s="392" t="str">
        <f>'TTUHSCEP FGD'!$B$2</f>
        <v>Texas Tech University Health Sciences Center at El Paso</v>
      </c>
      <c r="D500" s="355">
        <f>'TTUHSCEP FGD'!$D$58</f>
        <v>0</v>
      </c>
      <c r="E500" s="355">
        <f>'TTUHSCEP FGD'!$E$58</f>
        <v>67505344</v>
      </c>
      <c r="F500" s="355">
        <f>'TTUHSCEP FGD'!$F$58</f>
        <v>0</v>
      </c>
      <c r="G500" s="355">
        <f>'TTUHSCEP FGD'!$G$58</f>
        <v>12168432</v>
      </c>
      <c r="H500" s="355">
        <f>'TTUHSCEP FGD'!$H$58</f>
        <v>0</v>
      </c>
      <c r="I500" s="355">
        <f>'TTUHSCEP FGD'!$I$58</f>
        <v>0</v>
      </c>
      <c r="J500" s="355">
        <f>'TTUHSCEP FGD'!$J$58</f>
        <v>-230353</v>
      </c>
      <c r="K500" s="355">
        <f>'TTUHSCEP FGD'!$K$58</f>
        <v>0</v>
      </c>
      <c r="L500" s="355">
        <f>'TTUHSCEP FGD'!$L$58</f>
        <v>0</v>
      </c>
      <c r="M500" s="357">
        <f>'TTUHSCEP FGD'!$M$58</f>
        <v>79443423</v>
      </c>
    </row>
    <row r="501" spans="1:13" hidden="1" outlineLevel="1">
      <c r="B501" s="392" t="str">
        <f>'UNTHSC FGD'!$B$2</f>
        <v>University of North Texas Health Science Center at Fort Worth</v>
      </c>
      <c r="D501" s="355">
        <f>'UNTHSC FGD'!$D$58</f>
        <v>0</v>
      </c>
      <c r="E501" s="355">
        <f>'UNTHSC FGD'!$E$58</f>
        <v>3068301</v>
      </c>
      <c r="F501" s="355">
        <f>'UNTHSC FGD'!$F$58</f>
        <v>0</v>
      </c>
      <c r="G501" s="355">
        <f>'UNTHSC FGD'!$G$58</f>
        <v>5917973</v>
      </c>
      <c r="H501" s="355">
        <f>'UNTHSC FGD'!$H$58</f>
        <v>18855</v>
      </c>
      <c r="I501" s="355">
        <f>'UNTHSC FGD'!$I$58</f>
        <v>0</v>
      </c>
      <c r="J501" s="355">
        <f>'UNTHSC FGD'!$J$58</f>
        <v>0</v>
      </c>
      <c r="K501" s="355">
        <f>'UNTHSC FGD'!$K$58</f>
        <v>0</v>
      </c>
      <c r="L501" s="355">
        <f>'UNTHSC FGD'!$L$58</f>
        <v>0</v>
      </c>
      <c r="M501" s="357">
        <f>'UNTHSC FGD'!$M$58</f>
        <v>9005129</v>
      </c>
    </row>
    <row r="502" spans="1:13" collapsed="1">
      <c r="A502" s="147">
        <v>41</v>
      </c>
      <c r="B502" s="149" t="s">
        <v>10</v>
      </c>
      <c r="D502" s="355">
        <f t="shared" ref="D502:M502" si="36">SUM(D490:D501)</f>
        <v>2844289</v>
      </c>
      <c r="E502" s="355">
        <f t="shared" si="36"/>
        <v>336873448</v>
      </c>
      <c r="F502" s="355">
        <f t="shared" si="36"/>
        <v>490621</v>
      </c>
      <c r="G502" s="355">
        <f t="shared" si="36"/>
        <v>613253503</v>
      </c>
      <c r="H502" s="355">
        <f t="shared" si="36"/>
        <v>18855</v>
      </c>
      <c r="I502" s="355">
        <f t="shared" si="36"/>
        <v>500000</v>
      </c>
      <c r="J502" s="355">
        <f t="shared" si="36"/>
        <v>63168870</v>
      </c>
      <c r="K502" s="355">
        <f t="shared" si="36"/>
        <v>0</v>
      </c>
      <c r="L502" s="355">
        <f t="shared" si="36"/>
        <v>0</v>
      </c>
      <c r="M502" s="357">
        <f t="shared" si="36"/>
        <v>1017149586</v>
      </c>
    </row>
    <row r="503" spans="1:13" hidden="1" outlineLevel="1">
      <c r="B503" s="392" t="str">
        <f>'AUSM FGD'!$B$2</f>
        <v>The University of Texas at Austin Medical School (M)</v>
      </c>
      <c r="D503" s="355">
        <f>'AUSM FGD'!$D$59</f>
        <v>0</v>
      </c>
      <c r="E503" s="355">
        <f>'AUSM FGD'!$E$59</f>
        <v>84761</v>
      </c>
      <c r="F503" s="355">
        <f>'AUSM FGD'!$F$59</f>
        <v>0</v>
      </c>
      <c r="G503" s="355">
        <f>'AUSM FGD'!$G$59</f>
        <v>0</v>
      </c>
      <c r="H503" s="355">
        <f>'AUSM FGD'!$H$59</f>
        <v>0</v>
      </c>
      <c r="I503" s="355">
        <f>'AUSM FGD'!$I$59</f>
        <v>0</v>
      </c>
      <c r="J503" s="355">
        <f>'AUSM FGD'!$J$59</f>
        <v>0</v>
      </c>
      <c r="K503" s="355">
        <f>'AUSM FGD'!$K$59</f>
        <v>0</v>
      </c>
      <c r="L503" s="355">
        <f>'AUSM FGD'!$L$59</f>
        <v>0</v>
      </c>
      <c r="M503" s="357">
        <f>'AUSM FGD'!$M$59</f>
        <v>84761</v>
      </c>
    </row>
    <row r="504" spans="1:13" hidden="1" outlineLevel="1">
      <c r="B504" s="392" t="str">
        <f>'HSH FGD'!$B$2</f>
        <v>The University of Texas Health Science Center at Houston</v>
      </c>
      <c r="D504" s="355">
        <f>'HSH FGD'!$D$59</f>
        <v>7881561</v>
      </c>
      <c r="E504" s="355">
        <f>'HSH FGD'!$E$59</f>
        <v>14703025</v>
      </c>
      <c r="F504" s="355">
        <f>'HSH FGD'!$F$59</f>
        <v>0</v>
      </c>
      <c r="G504" s="355">
        <f>'HSH FGD'!$G$59</f>
        <v>14995281</v>
      </c>
      <c r="H504" s="355">
        <f>'HSH FGD'!$H$59</f>
        <v>0</v>
      </c>
      <c r="I504" s="355">
        <f>'HSH FGD'!$I$59</f>
        <v>0</v>
      </c>
      <c r="J504" s="355">
        <f>'HSH FGD'!$J$59</f>
        <v>0</v>
      </c>
      <c r="K504" s="355">
        <f>'HSH FGD'!$K$59</f>
        <v>0</v>
      </c>
      <c r="L504" s="355">
        <f>'HSH FGD'!$L$59</f>
        <v>0</v>
      </c>
      <c r="M504" s="357">
        <f>'HSH FGD'!$M$59</f>
        <v>37579867</v>
      </c>
    </row>
    <row r="505" spans="1:13" hidden="1" outlineLevel="1">
      <c r="B505" s="392" t="str">
        <f>'HSSA FGD'!$B$2</f>
        <v>The University of Texas Health Science Center at San Antonio</v>
      </c>
      <c r="D505" s="355">
        <f>'HSSA FGD'!$D$59</f>
        <v>5673926</v>
      </c>
      <c r="E505" s="355">
        <f>'HSSA FGD'!$E$59</f>
        <v>13654795</v>
      </c>
      <c r="F505" s="355">
        <f>'HSSA FGD'!$F$59</f>
        <v>0</v>
      </c>
      <c r="G505" s="355">
        <f>'HSSA FGD'!$G$59</f>
        <v>11113440</v>
      </c>
      <c r="H505" s="355">
        <f>'HSSA FGD'!$H$59</f>
        <v>0</v>
      </c>
      <c r="I505" s="355">
        <f>'HSSA FGD'!$I$59</f>
        <v>0</v>
      </c>
      <c r="J505" s="355">
        <f>'HSSA FGD'!$J$59</f>
        <v>0</v>
      </c>
      <c r="K505" s="355">
        <f>'HSSA FGD'!$K$59</f>
        <v>0</v>
      </c>
      <c r="L505" s="355">
        <f>'HSSA FGD'!$L$59</f>
        <v>0</v>
      </c>
      <c r="M505" s="357">
        <f>'HSSA FGD'!$M$59</f>
        <v>30442161</v>
      </c>
    </row>
    <row r="506" spans="1:13" hidden="1" outlineLevel="1">
      <c r="B506" s="392" t="str">
        <f>'MBG FGD'!$B$2</f>
        <v>The University of Texas Medical Branch at Galveston</v>
      </c>
      <c r="D506" s="355">
        <f>'MBG FGD'!$D$59</f>
        <v>0</v>
      </c>
      <c r="E506" s="355">
        <f>'MBG FGD'!$E$59</f>
        <v>2335193</v>
      </c>
      <c r="F506" s="355">
        <f>'MBG FGD'!$F$59</f>
        <v>0</v>
      </c>
      <c r="G506" s="355">
        <f>'MBG FGD'!$G$59</f>
        <v>11116622</v>
      </c>
      <c r="H506" s="355">
        <f>'MBG FGD'!$H$59</f>
        <v>0</v>
      </c>
      <c r="I506" s="355">
        <f>'MBG FGD'!$I$59</f>
        <v>0</v>
      </c>
      <c r="J506" s="355">
        <f>'MBG FGD'!$J$59</f>
        <v>0</v>
      </c>
      <c r="K506" s="355">
        <f>'MBG FGD'!$K$59</f>
        <v>0</v>
      </c>
      <c r="L506" s="355">
        <f>'MBG FGD'!$L$59</f>
        <v>0</v>
      </c>
      <c r="M506" s="357">
        <f>'MBG FGD'!$M$59</f>
        <v>13451815</v>
      </c>
    </row>
    <row r="507" spans="1:13" hidden="1" outlineLevel="1">
      <c r="B507" s="392" t="str">
        <f>'MDA FGD'!$B$2</f>
        <v>The University of Texas M.D. Anderson Cancer Center</v>
      </c>
      <c r="D507" s="355">
        <f>'MDA FGD'!$D$59</f>
        <v>0</v>
      </c>
      <c r="E507" s="355">
        <f>'MDA FGD'!$E$59</f>
        <v>2031065</v>
      </c>
      <c r="F507" s="355">
        <f>'MDA FGD'!$F$59</f>
        <v>0</v>
      </c>
      <c r="G507" s="355">
        <f>'MDA FGD'!$G$59</f>
        <v>0</v>
      </c>
      <c r="H507" s="355">
        <f>'MDA FGD'!$H$59</f>
        <v>0</v>
      </c>
      <c r="I507" s="355">
        <f>'MDA FGD'!$I$59</f>
        <v>0</v>
      </c>
      <c r="J507" s="355">
        <f>'MDA FGD'!$J$59</f>
        <v>0</v>
      </c>
      <c r="K507" s="355">
        <f>'MDA FGD'!$K$59</f>
        <v>0</v>
      </c>
      <c r="L507" s="355">
        <f>'MDA FGD'!$L$59</f>
        <v>0</v>
      </c>
      <c r="M507" s="357">
        <f>'MDA FGD'!$M$59</f>
        <v>2031065</v>
      </c>
    </row>
    <row r="508" spans="1:13" hidden="1" outlineLevel="1">
      <c r="B508" s="392" t="str">
        <f>'RGVM FGD'!$B$2</f>
        <v>The University of Texas Rio Grande Valley Medical School (M)</v>
      </c>
      <c r="D508" s="355">
        <f>'RGVM FGD'!$D$59</f>
        <v>0</v>
      </c>
      <c r="E508" s="355">
        <f>'RGVM FGD'!$E$59</f>
        <v>27769</v>
      </c>
      <c r="F508" s="355">
        <f>'RGVM FGD'!$F$59</f>
        <v>0</v>
      </c>
      <c r="G508" s="355">
        <f>'RGVM FGD'!$G$59</f>
        <v>225424</v>
      </c>
      <c r="H508" s="355">
        <f>'RGVM FGD'!$H$59</f>
        <v>0</v>
      </c>
      <c r="I508" s="355">
        <f>'RGVM FGD'!$I$59</f>
        <v>0</v>
      </c>
      <c r="J508" s="355">
        <f>'RGVM FGD'!$J$59</f>
        <v>0</v>
      </c>
      <c r="K508" s="355">
        <f>'RGVM FGD'!$K$59</f>
        <v>0</v>
      </c>
      <c r="L508" s="355">
        <f>'RGVM FGD'!$L$59</f>
        <v>0</v>
      </c>
      <c r="M508" s="357">
        <f>'RGVM FGD'!$M$59</f>
        <v>253193</v>
      </c>
    </row>
    <row r="509" spans="1:13" hidden="1" outlineLevel="1">
      <c r="B509" s="392" t="str">
        <f>'SWM FGD'!$B$2</f>
        <v>The University of Texas Southwestern Medical Center</v>
      </c>
      <c r="D509" s="355">
        <f>'SWM FGD'!$D$59</f>
        <v>0</v>
      </c>
      <c r="E509" s="355">
        <f>'SWM FGD'!$E$59</f>
        <v>7821706</v>
      </c>
      <c r="F509" s="355">
        <f>'SWM FGD'!$F$59</f>
        <v>0</v>
      </c>
      <c r="G509" s="355">
        <f>'SWM FGD'!$G$59</f>
        <v>1798948</v>
      </c>
      <c r="H509" s="355">
        <f>'SWM FGD'!$H$59</f>
        <v>0</v>
      </c>
      <c r="I509" s="355">
        <f>'SWM FGD'!$I$59</f>
        <v>0</v>
      </c>
      <c r="J509" s="355">
        <f>'SWM FGD'!$J$59</f>
        <v>0</v>
      </c>
      <c r="K509" s="355">
        <f>'SWM FGD'!$K$59</f>
        <v>0</v>
      </c>
      <c r="L509" s="355">
        <f>'SWM FGD'!$L$59</f>
        <v>0</v>
      </c>
      <c r="M509" s="357">
        <f>'SWM FGD'!$M$59</f>
        <v>9620654</v>
      </c>
    </row>
    <row r="510" spans="1:13" hidden="1" outlineLevel="1">
      <c r="B510" s="392" t="str">
        <f>'TAMHSC FGD'!$B$2</f>
        <v>Texas A&amp;M University System Health Science Center</v>
      </c>
      <c r="D510" s="355">
        <f>'TAMHSC FGD'!$D$59</f>
        <v>8063194</v>
      </c>
      <c r="E510" s="355">
        <f>'TAMHSC FGD'!$E$59</f>
        <v>32638265</v>
      </c>
      <c r="F510" s="355">
        <f>'TAMHSC FGD'!$F$59</f>
        <v>0</v>
      </c>
      <c r="G510" s="355">
        <f>'TAMHSC FGD'!$G$59</f>
        <v>16453</v>
      </c>
      <c r="H510" s="355">
        <f>'TAMHSC FGD'!$H$59</f>
        <v>0</v>
      </c>
      <c r="I510" s="355">
        <f>'TAMHSC FGD'!$I$59</f>
        <v>0</v>
      </c>
      <c r="J510" s="355">
        <f>'TAMHSC FGD'!$J$59</f>
        <v>0</v>
      </c>
      <c r="K510" s="355">
        <f>'TAMHSC FGD'!$K$59</f>
        <v>0</v>
      </c>
      <c r="L510" s="355">
        <f>'TAMHSC FGD'!$L$59</f>
        <v>0</v>
      </c>
      <c r="M510" s="357">
        <f>'TAMHSC FGD'!$M$59</f>
        <v>40717912</v>
      </c>
    </row>
    <row r="511" spans="1:13" hidden="1" outlineLevel="1">
      <c r="B511" s="392" t="str">
        <f>'THC FGD'!$B$2</f>
        <v>The University of Texas Health Science Center at Tyler</v>
      </c>
      <c r="D511" s="355">
        <f>'THC FGD'!$D$59</f>
        <v>1262423</v>
      </c>
      <c r="E511" s="355">
        <f>'THC FGD'!$E$59</f>
        <v>1939275</v>
      </c>
      <c r="F511" s="355">
        <f>'THC FGD'!$F$59</f>
        <v>0</v>
      </c>
      <c r="G511" s="355">
        <f>'THC FGD'!$G$59</f>
        <v>477323</v>
      </c>
      <c r="H511" s="355">
        <f>'THC FGD'!$H$59</f>
        <v>0</v>
      </c>
      <c r="I511" s="355">
        <f>'THC FGD'!$I$59</f>
        <v>0</v>
      </c>
      <c r="J511" s="355">
        <f>'THC FGD'!$J$59</f>
        <v>0</v>
      </c>
      <c r="K511" s="355">
        <f>'THC FGD'!$K$59</f>
        <v>0</v>
      </c>
      <c r="L511" s="355">
        <f>'THC FGD'!$L$59</f>
        <v>0</v>
      </c>
      <c r="M511" s="357">
        <f>'THC FGD'!$M$59</f>
        <v>3679021</v>
      </c>
    </row>
    <row r="512" spans="1:13" hidden="1" outlineLevel="1">
      <c r="B512" s="392" t="str">
        <f>'TTUHSC FGD'!$B$2</f>
        <v>Texas Tech University Health Sciences Center</v>
      </c>
      <c r="D512" s="355">
        <f>'TTUHSC FGD'!$D$59</f>
        <v>0</v>
      </c>
      <c r="E512" s="355">
        <f>'TTUHSC FGD'!$E$59</f>
        <v>10354743</v>
      </c>
      <c r="F512" s="355">
        <f>'TTUHSC FGD'!$F$59</f>
        <v>0</v>
      </c>
      <c r="G512" s="355">
        <f>'TTUHSC FGD'!$G$59</f>
        <v>729555</v>
      </c>
      <c r="H512" s="355">
        <f>'TTUHSC FGD'!$H$59</f>
        <v>0</v>
      </c>
      <c r="I512" s="355">
        <f>'TTUHSC FGD'!$I$59</f>
        <v>0</v>
      </c>
      <c r="J512" s="355">
        <f>'TTUHSC FGD'!$J$59</f>
        <v>0</v>
      </c>
      <c r="K512" s="355">
        <f>'TTUHSC FGD'!$K$59</f>
        <v>0</v>
      </c>
      <c r="L512" s="355">
        <f>'TTUHSC FGD'!$L$59</f>
        <v>0</v>
      </c>
      <c r="M512" s="357">
        <f>'TTUHSC FGD'!$M$59</f>
        <v>11084298</v>
      </c>
    </row>
    <row r="513" spans="1:15" hidden="1" outlineLevel="1">
      <c r="B513" s="392" t="str">
        <f>'TTUHSCEP FGD'!$B$2</f>
        <v>Texas Tech University Health Sciences Center at El Paso</v>
      </c>
      <c r="D513" s="355">
        <f>'TTUHSCEP FGD'!$D$59</f>
        <v>0</v>
      </c>
      <c r="E513" s="355">
        <f>'TTUHSCEP FGD'!$E$59</f>
        <v>416475</v>
      </c>
      <c r="F513" s="355">
        <f>'TTUHSCEP FGD'!$F$59</f>
        <v>0</v>
      </c>
      <c r="G513" s="355">
        <f>'TTUHSCEP FGD'!$G$59</f>
        <v>1131</v>
      </c>
      <c r="H513" s="355">
        <f>'TTUHSCEP FGD'!$H$59</f>
        <v>0</v>
      </c>
      <c r="I513" s="355">
        <f>'TTUHSCEP FGD'!$I$59</f>
        <v>0</v>
      </c>
      <c r="J513" s="355">
        <f>'TTUHSCEP FGD'!$J$59</f>
        <v>0</v>
      </c>
      <c r="K513" s="355">
        <f>'TTUHSCEP FGD'!$K$59</f>
        <v>0</v>
      </c>
      <c r="L513" s="355">
        <f>'TTUHSCEP FGD'!$L$59</f>
        <v>0</v>
      </c>
      <c r="M513" s="357">
        <f>'TTUHSCEP FGD'!$M$59</f>
        <v>417606</v>
      </c>
    </row>
    <row r="514" spans="1:15" hidden="1" outlineLevel="1">
      <c r="B514" s="392" t="str">
        <f>'UNTHSC FGD'!$B$2</f>
        <v>University of North Texas Health Science Center at Fort Worth</v>
      </c>
      <c r="D514" s="355">
        <f>'UNTHSC FGD'!$D$59</f>
        <v>0</v>
      </c>
      <c r="E514" s="355">
        <f>'UNTHSC FGD'!$E$59</f>
        <v>59842566</v>
      </c>
      <c r="F514" s="355">
        <f>'UNTHSC FGD'!$F$59</f>
        <v>0</v>
      </c>
      <c r="G514" s="355">
        <f>'UNTHSC FGD'!$G$59</f>
        <v>-153249</v>
      </c>
      <c r="H514" s="355">
        <f>'UNTHSC FGD'!$H$59</f>
        <v>681</v>
      </c>
      <c r="I514" s="355">
        <f>'UNTHSC FGD'!$I$59</f>
        <v>0</v>
      </c>
      <c r="J514" s="355">
        <f>'UNTHSC FGD'!$J$59</f>
        <v>0</v>
      </c>
      <c r="K514" s="355">
        <f>'UNTHSC FGD'!$K$59</f>
        <v>0</v>
      </c>
      <c r="L514" s="355">
        <f>'UNTHSC FGD'!$L$59</f>
        <v>0</v>
      </c>
      <c r="M514" s="357">
        <f>'UNTHSC FGD'!$M$59</f>
        <v>59689998</v>
      </c>
    </row>
    <row r="515" spans="1:15" collapsed="1">
      <c r="A515" s="147">
        <v>42</v>
      </c>
      <c r="B515" s="149" t="s">
        <v>54</v>
      </c>
      <c r="D515" s="355">
        <f t="shared" ref="D515:M515" si="37">SUM(D503:D514)</f>
        <v>22881104</v>
      </c>
      <c r="E515" s="355">
        <f t="shared" si="37"/>
        <v>145849638</v>
      </c>
      <c r="F515" s="355">
        <f t="shared" si="37"/>
        <v>0</v>
      </c>
      <c r="G515" s="355">
        <f t="shared" si="37"/>
        <v>40320928</v>
      </c>
      <c r="H515" s="355">
        <f t="shared" si="37"/>
        <v>681</v>
      </c>
      <c r="I515" s="355">
        <f t="shared" si="37"/>
        <v>0</v>
      </c>
      <c r="J515" s="355">
        <f t="shared" si="37"/>
        <v>0</v>
      </c>
      <c r="K515" s="355">
        <f t="shared" si="37"/>
        <v>0</v>
      </c>
      <c r="L515" s="355">
        <f t="shared" si="37"/>
        <v>0</v>
      </c>
      <c r="M515" s="357">
        <f t="shared" si="37"/>
        <v>209052351</v>
      </c>
    </row>
    <row r="516" spans="1:15" hidden="1" outlineLevel="1">
      <c r="B516" s="392" t="str">
        <f>'AUSM FGD'!$B$2</f>
        <v>The University of Texas at Austin Medical School (M)</v>
      </c>
      <c r="D516" s="355">
        <f>'AUSM FGD'!$D$60</f>
        <v>0</v>
      </c>
      <c r="E516" s="355">
        <f>'AUSM FGD'!$E$60</f>
        <v>0</v>
      </c>
      <c r="F516" s="355">
        <f>'AUSM FGD'!$F$60</f>
        <v>3152078</v>
      </c>
      <c r="G516" s="355">
        <f>'AUSM FGD'!$G$60</f>
        <v>0</v>
      </c>
      <c r="H516" s="355">
        <f>'AUSM FGD'!$H$60</f>
        <v>0</v>
      </c>
      <c r="I516" s="355">
        <f>'AUSM FGD'!$I$60</f>
        <v>0</v>
      </c>
      <c r="J516" s="355">
        <f>'AUSM FGD'!$J$60</f>
        <v>0</v>
      </c>
      <c r="K516" s="355">
        <f>'AUSM FGD'!$K$60</f>
        <v>0</v>
      </c>
      <c r="L516" s="355">
        <f>'AUSM FGD'!$L$60</f>
        <v>0</v>
      </c>
      <c r="M516" s="357">
        <f>'AUSM FGD'!$M$60</f>
        <v>3152078</v>
      </c>
    </row>
    <row r="517" spans="1:15" hidden="1" outlineLevel="1">
      <c r="B517" s="392" t="str">
        <f>'HSH FGD'!$B$2</f>
        <v>The University of Texas Health Science Center at Houston</v>
      </c>
      <c r="D517" s="355">
        <f>'HSH FGD'!$D$60</f>
        <v>0</v>
      </c>
      <c r="E517" s="355">
        <f>'HSH FGD'!$E$60</f>
        <v>0</v>
      </c>
      <c r="F517" s="355">
        <f>'HSH FGD'!$F$60</f>
        <v>27162590</v>
      </c>
      <c r="G517" s="355">
        <f>'HSH FGD'!$G$60</f>
        <v>0</v>
      </c>
      <c r="H517" s="355">
        <f>'HSH FGD'!$H$60</f>
        <v>0</v>
      </c>
      <c r="I517" s="355">
        <f>'HSH FGD'!$I$60</f>
        <v>0</v>
      </c>
      <c r="J517" s="355">
        <f>'HSH FGD'!$J$60</f>
        <v>0</v>
      </c>
      <c r="K517" s="355">
        <f>'HSH FGD'!$K$60</f>
        <v>0</v>
      </c>
      <c r="L517" s="355">
        <f>'HSH FGD'!$L$60</f>
        <v>0</v>
      </c>
      <c r="M517" s="357">
        <f>'HSH FGD'!$M$60</f>
        <v>27162590</v>
      </c>
    </row>
    <row r="518" spans="1:15" hidden="1" outlineLevel="1">
      <c r="B518" s="392" t="str">
        <f>'HSSA FGD'!$B$2</f>
        <v>The University of Texas Health Science Center at San Antonio</v>
      </c>
      <c r="D518" s="355">
        <f>'HSSA FGD'!$D$60</f>
        <v>0</v>
      </c>
      <c r="E518" s="355">
        <f>'HSSA FGD'!$E$60</f>
        <v>0</v>
      </c>
      <c r="F518" s="355">
        <f>'HSSA FGD'!$F$60</f>
        <v>5480027</v>
      </c>
      <c r="G518" s="355">
        <f>'HSSA FGD'!$G$60</f>
        <v>0</v>
      </c>
      <c r="H518" s="355">
        <f>'HSSA FGD'!$H$60</f>
        <v>0</v>
      </c>
      <c r="I518" s="355">
        <f>'HSSA FGD'!$I$60</f>
        <v>0</v>
      </c>
      <c r="J518" s="355">
        <f>'HSSA FGD'!$J$60</f>
        <v>0</v>
      </c>
      <c r="K518" s="355">
        <f>'HSSA FGD'!$K$60</f>
        <v>0</v>
      </c>
      <c r="L518" s="355">
        <f>'HSSA FGD'!$L$60</f>
        <v>0</v>
      </c>
      <c r="M518" s="357">
        <f>'HSSA FGD'!$M$60</f>
        <v>5480027</v>
      </c>
    </row>
    <row r="519" spans="1:15" hidden="1" outlineLevel="1">
      <c r="B519" s="392" t="str">
        <f>'MBG FGD'!$B$2</f>
        <v>The University of Texas Medical Branch at Galveston</v>
      </c>
      <c r="D519" s="355">
        <f>'MBG FGD'!$D$60</f>
        <v>0</v>
      </c>
      <c r="E519" s="355">
        <f>'MBG FGD'!$E$60</f>
        <v>0</v>
      </c>
      <c r="F519" s="355">
        <f>'MBG FGD'!$F$60</f>
        <v>12933001</v>
      </c>
      <c r="G519" s="355">
        <f>'MBG FGD'!$G$60</f>
        <v>0</v>
      </c>
      <c r="H519" s="355">
        <f>'MBG FGD'!$H$60</f>
        <v>0</v>
      </c>
      <c r="I519" s="355">
        <f>'MBG FGD'!$I$60</f>
        <v>0</v>
      </c>
      <c r="J519" s="355">
        <f>'MBG FGD'!$J$60</f>
        <v>0</v>
      </c>
      <c r="K519" s="355">
        <f>'MBG FGD'!$K$60</f>
        <v>0</v>
      </c>
      <c r="L519" s="355">
        <f>'MBG FGD'!$L$60</f>
        <v>0</v>
      </c>
      <c r="M519" s="357">
        <f>'MBG FGD'!$M$60</f>
        <v>12933001</v>
      </c>
    </row>
    <row r="520" spans="1:15" hidden="1" outlineLevel="1">
      <c r="B520" s="392" t="str">
        <f>'MDA FGD'!$B$2</f>
        <v>The University of Texas M.D. Anderson Cancer Center</v>
      </c>
      <c r="D520" s="355">
        <f>'MDA FGD'!$D$60</f>
        <v>0</v>
      </c>
      <c r="E520" s="355">
        <f>'MDA FGD'!$E$60</f>
        <v>0</v>
      </c>
      <c r="F520" s="355">
        <f>'MDA FGD'!$F$60</f>
        <v>44292397</v>
      </c>
      <c r="G520" s="355">
        <f>'MDA FGD'!$G$60</f>
        <v>0</v>
      </c>
      <c r="H520" s="355">
        <f>'MDA FGD'!$H$60</f>
        <v>0</v>
      </c>
      <c r="I520" s="355">
        <f>'MDA FGD'!$I$60</f>
        <v>0</v>
      </c>
      <c r="J520" s="355">
        <f>'MDA FGD'!$J$60</f>
        <v>0</v>
      </c>
      <c r="K520" s="355">
        <f>'MDA FGD'!$K$60</f>
        <v>0</v>
      </c>
      <c r="L520" s="355">
        <f>'MDA FGD'!$L$60</f>
        <v>0</v>
      </c>
      <c r="M520" s="357">
        <f>'MDA FGD'!$M$60</f>
        <v>44292397</v>
      </c>
    </row>
    <row r="521" spans="1:15" hidden="1" outlineLevel="1">
      <c r="B521" s="392" t="str">
        <f>'RGVM FGD'!$B$2</f>
        <v>The University of Texas Rio Grande Valley Medical School (M)</v>
      </c>
      <c r="D521" s="355">
        <f>'RGVM FGD'!$D$60</f>
        <v>0</v>
      </c>
      <c r="E521" s="355">
        <f>'RGVM FGD'!$E$60</f>
        <v>0</v>
      </c>
      <c r="F521" s="355">
        <f>'RGVM FGD'!$F$60</f>
        <v>0</v>
      </c>
      <c r="G521" s="355">
        <f>'RGVM FGD'!$G$60</f>
        <v>0</v>
      </c>
      <c r="H521" s="355">
        <f>'RGVM FGD'!$H$60</f>
        <v>0</v>
      </c>
      <c r="I521" s="355">
        <f>'RGVM FGD'!$I$60</f>
        <v>0</v>
      </c>
      <c r="J521" s="355">
        <f>'RGVM FGD'!$J$60</f>
        <v>0</v>
      </c>
      <c r="K521" s="355">
        <f>'RGVM FGD'!$K$60</f>
        <v>0</v>
      </c>
      <c r="L521" s="355">
        <f>'RGVM FGD'!$L$60</f>
        <v>0</v>
      </c>
      <c r="M521" s="357">
        <f>'RGVM FGD'!$M$60</f>
        <v>0</v>
      </c>
    </row>
    <row r="522" spans="1:15" hidden="1" outlineLevel="1">
      <c r="B522" s="392" t="str">
        <f>'SWM FGD'!$B$2</f>
        <v>The University of Texas Southwestern Medical Center</v>
      </c>
      <c r="D522" s="355">
        <f>'SWM FGD'!$D$60</f>
        <v>0</v>
      </c>
      <c r="E522" s="355">
        <f>'SWM FGD'!$E$60</f>
        <v>0</v>
      </c>
      <c r="F522" s="355">
        <f>'SWM FGD'!$F$60</f>
        <v>26351428</v>
      </c>
      <c r="G522" s="355">
        <f>'SWM FGD'!$G$60</f>
        <v>0</v>
      </c>
      <c r="H522" s="355">
        <f>'SWM FGD'!$H$60</f>
        <v>0</v>
      </c>
      <c r="I522" s="355">
        <f>'SWM FGD'!$I$60</f>
        <v>0</v>
      </c>
      <c r="J522" s="355">
        <f>'SWM FGD'!$J$60</f>
        <v>0</v>
      </c>
      <c r="K522" s="355">
        <f>'SWM FGD'!$K$60</f>
        <v>0</v>
      </c>
      <c r="L522" s="355">
        <f>'SWM FGD'!$L$60</f>
        <v>0</v>
      </c>
      <c r="M522" s="357">
        <f>'SWM FGD'!$M$60</f>
        <v>26351428</v>
      </c>
    </row>
    <row r="523" spans="1:15" hidden="1" outlineLevel="1">
      <c r="B523" s="392" t="str">
        <f>'TAMHSC FGD'!$B$2</f>
        <v>Texas A&amp;M University System Health Science Center</v>
      </c>
      <c r="D523" s="355">
        <f>'TAMHSC FGD'!$D$60</f>
        <v>0</v>
      </c>
      <c r="E523" s="355">
        <f>'TAMHSC FGD'!$E$60</f>
        <v>0</v>
      </c>
      <c r="F523" s="355">
        <f>'TAMHSC FGD'!$F$60</f>
        <v>1966031</v>
      </c>
      <c r="G523" s="355">
        <f>'TAMHSC FGD'!$G$60</f>
        <v>0</v>
      </c>
      <c r="H523" s="355">
        <f>'TAMHSC FGD'!$H$60</f>
        <v>0</v>
      </c>
      <c r="I523" s="355">
        <f>'TAMHSC FGD'!$I$60</f>
        <v>0</v>
      </c>
      <c r="J523" s="355">
        <f>'TAMHSC FGD'!$J$60</f>
        <v>0</v>
      </c>
      <c r="K523" s="355">
        <f>'TAMHSC FGD'!$K$60</f>
        <v>0</v>
      </c>
      <c r="L523" s="355">
        <f>'TAMHSC FGD'!$L$60</f>
        <v>0</v>
      </c>
      <c r="M523" s="357">
        <f>'TAMHSC FGD'!$M$60</f>
        <v>1966031</v>
      </c>
    </row>
    <row r="524" spans="1:15" hidden="1" outlineLevel="1">
      <c r="B524" s="392" t="str">
        <f>'THC FGD'!$B$2</f>
        <v>The University of Texas Health Science Center at Tyler</v>
      </c>
      <c r="D524" s="355">
        <f>'THC FGD'!$D$60</f>
        <v>0</v>
      </c>
      <c r="E524" s="355">
        <f>'THC FGD'!$E$60</f>
        <v>0</v>
      </c>
      <c r="F524" s="355">
        <f>'THC FGD'!$F$60</f>
        <v>164836</v>
      </c>
      <c r="G524" s="355">
        <f>'THC FGD'!$G$60</f>
        <v>0</v>
      </c>
      <c r="H524" s="355">
        <f>'THC FGD'!$H$60</f>
        <v>0</v>
      </c>
      <c r="I524" s="355">
        <f>'THC FGD'!$I$60</f>
        <v>0</v>
      </c>
      <c r="J524" s="355">
        <f>'THC FGD'!$J$60</f>
        <v>0</v>
      </c>
      <c r="K524" s="355">
        <f>'THC FGD'!$K$60</f>
        <v>0</v>
      </c>
      <c r="L524" s="355">
        <f>'THC FGD'!$L$60</f>
        <v>0</v>
      </c>
      <c r="M524" s="357">
        <f>'THC FGD'!$M$60</f>
        <v>164836</v>
      </c>
    </row>
    <row r="525" spans="1:15" hidden="1" outlineLevel="1">
      <c r="B525" s="392" t="str">
        <f>'TTUHSC FGD'!$B$2</f>
        <v>Texas Tech University Health Sciences Center</v>
      </c>
      <c r="D525" s="355">
        <f>'TTUHSC FGD'!$D$60</f>
        <v>0</v>
      </c>
      <c r="E525" s="355">
        <f>'TTUHSC FGD'!$E$60</f>
        <v>0</v>
      </c>
      <c r="F525" s="355">
        <f>'TTUHSC FGD'!$F$60</f>
        <v>828063</v>
      </c>
      <c r="G525" s="355">
        <f>'TTUHSC FGD'!$G$60</f>
        <v>0</v>
      </c>
      <c r="H525" s="355">
        <f>'TTUHSC FGD'!$H$60</f>
        <v>0</v>
      </c>
      <c r="I525" s="355">
        <f>'TTUHSC FGD'!$I$60</f>
        <v>0</v>
      </c>
      <c r="J525" s="355">
        <f>'TTUHSC FGD'!$J$60</f>
        <v>0</v>
      </c>
      <c r="K525" s="355">
        <f>'TTUHSC FGD'!$K$60</f>
        <v>0</v>
      </c>
      <c r="L525" s="355">
        <f>'TTUHSC FGD'!$L$60</f>
        <v>0</v>
      </c>
      <c r="M525" s="357">
        <f>'TTUHSC FGD'!$M$60</f>
        <v>828063</v>
      </c>
    </row>
    <row r="526" spans="1:15" hidden="1" outlineLevel="1">
      <c r="B526" s="392" t="str">
        <f>'TTUHSCEP FGD'!$B$2</f>
        <v>Texas Tech University Health Sciences Center at El Paso</v>
      </c>
      <c r="D526" s="355">
        <f>'TTUHSCEP FGD'!$D$60</f>
        <v>0</v>
      </c>
      <c r="E526" s="355">
        <f>'TTUHSCEP FGD'!$E$60</f>
        <v>0</v>
      </c>
      <c r="F526" s="355">
        <f>'TTUHSCEP FGD'!$F$60</f>
        <v>276566</v>
      </c>
      <c r="G526" s="355">
        <f>'TTUHSCEP FGD'!$G$60</f>
        <v>0</v>
      </c>
      <c r="H526" s="355">
        <f>'TTUHSCEP FGD'!$H$60</f>
        <v>0</v>
      </c>
      <c r="I526" s="355">
        <f>'TTUHSCEP FGD'!$I$60</f>
        <v>0</v>
      </c>
      <c r="J526" s="355">
        <f>'TTUHSCEP FGD'!$J$60</f>
        <v>0</v>
      </c>
      <c r="K526" s="355">
        <f>'TTUHSCEP FGD'!$K$60</f>
        <v>0</v>
      </c>
      <c r="L526" s="355">
        <f>'TTUHSCEP FGD'!$L$60</f>
        <v>0</v>
      </c>
      <c r="M526" s="357">
        <f>'TTUHSCEP FGD'!$M$60</f>
        <v>276566</v>
      </c>
    </row>
    <row r="527" spans="1:15" hidden="1" outlineLevel="1">
      <c r="B527" s="392" t="str">
        <f>'UNTHSC FGD'!$B$2</f>
        <v>University of North Texas Health Science Center at Fort Worth</v>
      </c>
      <c r="D527" s="355">
        <f>'UNTHSC FGD'!$D$60</f>
        <v>0</v>
      </c>
      <c r="E527" s="355">
        <f>'UNTHSC FGD'!$E$60</f>
        <v>0</v>
      </c>
      <c r="F527" s="355">
        <f>'UNTHSC FGD'!$F$60</f>
        <v>625243</v>
      </c>
      <c r="G527" s="355">
        <f>'UNTHSC FGD'!$G$60</f>
        <v>0</v>
      </c>
      <c r="H527" s="355">
        <f>'UNTHSC FGD'!$H$60</f>
        <v>0</v>
      </c>
      <c r="I527" s="355">
        <f>'UNTHSC FGD'!$I$60</f>
        <v>0</v>
      </c>
      <c r="J527" s="355">
        <f>'UNTHSC FGD'!$J$60</f>
        <v>0</v>
      </c>
      <c r="K527" s="355">
        <f>'UNTHSC FGD'!$K$60</f>
        <v>0</v>
      </c>
      <c r="L527" s="355">
        <f>'UNTHSC FGD'!$L$60</f>
        <v>0</v>
      </c>
      <c r="M527" s="357">
        <f>'UNTHSC FGD'!$M$60</f>
        <v>625243</v>
      </c>
    </row>
    <row r="528" spans="1:15" collapsed="1">
      <c r="A528" s="147">
        <v>43</v>
      </c>
      <c r="B528" s="183" t="s">
        <v>1362</v>
      </c>
      <c r="C528" s="159"/>
      <c r="D528" s="355">
        <f t="shared" ref="D528:M528" si="38">SUM(D516:D527)</f>
        <v>0</v>
      </c>
      <c r="E528" s="355">
        <f t="shared" si="38"/>
        <v>0</v>
      </c>
      <c r="F528" s="355">
        <f t="shared" si="38"/>
        <v>123232260</v>
      </c>
      <c r="G528" s="355">
        <f t="shared" si="38"/>
        <v>0</v>
      </c>
      <c r="H528" s="355">
        <f t="shared" si="38"/>
        <v>0</v>
      </c>
      <c r="I528" s="355">
        <f t="shared" si="38"/>
        <v>0</v>
      </c>
      <c r="J528" s="355">
        <f t="shared" si="38"/>
        <v>0</v>
      </c>
      <c r="K528" s="355">
        <f t="shared" si="38"/>
        <v>0</v>
      </c>
      <c r="L528" s="355">
        <f t="shared" si="38"/>
        <v>0</v>
      </c>
      <c r="M528" s="357">
        <f t="shared" si="38"/>
        <v>123232260</v>
      </c>
      <c r="O528" s="309"/>
    </row>
    <row r="529" spans="1:15" hidden="1" outlineLevel="1">
      <c r="B529" s="392" t="str">
        <f>'AUSM FGD'!$B$2</f>
        <v>The University of Texas at Austin Medical School (M)</v>
      </c>
      <c r="C529" s="159"/>
      <c r="D529" s="355">
        <f>'AUSM FGD'!$D$61</f>
        <v>0</v>
      </c>
      <c r="E529" s="355">
        <f>'AUSM FGD'!$E$61</f>
        <v>3149604</v>
      </c>
      <c r="F529" s="355">
        <f>'AUSM FGD'!$F$61</f>
        <v>0</v>
      </c>
      <c r="G529" s="355">
        <f>'AUSM FGD'!$G$61</f>
        <v>0</v>
      </c>
      <c r="H529" s="355">
        <f>'AUSM FGD'!$H$61</f>
        <v>0</v>
      </c>
      <c r="I529" s="355">
        <f>'AUSM FGD'!$I$61</f>
        <v>0</v>
      </c>
      <c r="J529" s="355">
        <f>'AUSM FGD'!$J$61</f>
        <v>0</v>
      </c>
      <c r="K529" s="355">
        <f>'AUSM FGD'!$K$61</f>
        <v>0</v>
      </c>
      <c r="L529" s="355">
        <f>'AUSM FGD'!$L$61</f>
        <v>122060</v>
      </c>
      <c r="M529" s="357">
        <f>'AUSM FGD'!$M$61</f>
        <v>3271664</v>
      </c>
      <c r="O529" s="309"/>
    </row>
    <row r="530" spans="1:15" hidden="1" outlineLevel="1">
      <c r="B530" s="392" t="str">
        <f>'HSH FGD'!$B$2</f>
        <v>The University of Texas Health Science Center at Houston</v>
      </c>
      <c r="C530" s="159"/>
      <c r="D530" s="355">
        <f>'HSH FGD'!$D$61</f>
        <v>765788</v>
      </c>
      <c r="E530" s="355">
        <f>'HSH FGD'!$E$61</f>
        <v>74105723</v>
      </c>
      <c r="F530" s="355">
        <f>'HSH FGD'!$F$61</f>
        <v>0</v>
      </c>
      <c r="G530" s="355">
        <f>'HSH FGD'!$G$61</f>
        <v>1260062</v>
      </c>
      <c r="H530" s="355">
        <f>'HSH FGD'!$H$61</f>
        <v>265755</v>
      </c>
      <c r="I530" s="355">
        <f>'HSH FGD'!$I$61</f>
        <v>0</v>
      </c>
      <c r="J530" s="355">
        <f>'HSH FGD'!$J$61</f>
        <v>0</v>
      </c>
      <c r="K530" s="355">
        <f>'HSH FGD'!$K$61</f>
        <v>0</v>
      </c>
      <c r="L530" s="355">
        <f>'HSH FGD'!$L$61</f>
        <v>-427889</v>
      </c>
      <c r="M530" s="357">
        <f>'HSH FGD'!$M$61</f>
        <v>75969439</v>
      </c>
      <c r="O530" s="309"/>
    </row>
    <row r="531" spans="1:15" hidden="1" outlineLevel="1">
      <c r="B531" s="392" t="str">
        <f>'HSSA FGD'!$B$2</f>
        <v>The University of Texas Health Science Center at San Antonio</v>
      </c>
      <c r="C531" s="159"/>
      <c r="D531" s="355">
        <f>'HSSA FGD'!$D$61</f>
        <v>133136</v>
      </c>
      <c r="E531" s="355">
        <f>'HSSA FGD'!$E$61</f>
        <v>32195314</v>
      </c>
      <c r="F531" s="355">
        <f>'HSSA FGD'!$F$61</f>
        <v>0</v>
      </c>
      <c r="G531" s="355">
        <f>'HSSA FGD'!$G$61</f>
        <v>2019167</v>
      </c>
      <c r="H531" s="355">
        <f>'HSSA FGD'!$H$61</f>
        <v>111946</v>
      </c>
      <c r="I531" s="355">
        <f>'HSSA FGD'!$I$61</f>
        <v>0</v>
      </c>
      <c r="J531" s="355">
        <f>'HSSA FGD'!$J$61</f>
        <v>0</v>
      </c>
      <c r="K531" s="355">
        <f>'HSSA FGD'!$K$61</f>
        <v>0</v>
      </c>
      <c r="L531" s="355">
        <f>'HSSA FGD'!$L$61</f>
        <v>-456858</v>
      </c>
      <c r="M531" s="357">
        <f>'HSSA FGD'!$M$61</f>
        <v>34002705</v>
      </c>
      <c r="O531" s="309"/>
    </row>
    <row r="532" spans="1:15" hidden="1" outlineLevel="1">
      <c r="B532" s="392" t="str">
        <f>'MBG FGD'!$B$2</f>
        <v>The University of Texas Medical Branch at Galveston</v>
      </c>
      <c r="C532" s="159"/>
      <c r="D532" s="355">
        <f>'MBG FGD'!$D$61</f>
        <v>28307704</v>
      </c>
      <c r="E532" s="355">
        <f>'MBG FGD'!$E$61</f>
        <v>16890308</v>
      </c>
      <c r="F532" s="355">
        <f>'MBG FGD'!$F$61</f>
        <v>0</v>
      </c>
      <c r="G532" s="355">
        <f>'MBG FGD'!$G$61</f>
        <v>1109291</v>
      </c>
      <c r="H532" s="355">
        <f>'MBG FGD'!$H$61</f>
        <v>166051</v>
      </c>
      <c r="I532" s="355">
        <f>'MBG FGD'!$I$61</f>
        <v>0</v>
      </c>
      <c r="J532" s="355">
        <f>'MBG FGD'!$J$61</f>
        <v>11668456</v>
      </c>
      <c r="K532" s="355">
        <f>'MBG FGD'!$K$61</f>
        <v>0</v>
      </c>
      <c r="L532" s="355">
        <f>'MBG FGD'!$L$61</f>
        <v>-2187020</v>
      </c>
      <c r="M532" s="357">
        <f>'MBG FGD'!$M$61</f>
        <v>55954790</v>
      </c>
      <c r="O532" s="309"/>
    </row>
    <row r="533" spans="1:15" hidden="1" outlineLevel="1">
      <c r="B533" s="392" t="str">
        <f>'MDA FGD'!$B$2</f>
        <v>The University of Texas M.D. Anderson Cancer Center</v>
      </c>
      <c r="C533" s="159"/>
      <c r="D533" s="355">
        <f>'MDA FGD'!$D$61</f>
        <v>11485104</v>
      </c>
      <c r="E533" s="355">
        <f>'MDA FGD'!$E$61</f>
        <v>104868974</v>
      </c>
      <c r="F533" s="355">
        <f>'MDA FGD'!$F$61</f>
        <v>0</v>
      </c>
      <c r="G533" s="355">
        <f>'MDA FGD'!$G$61</f>
        <v>3378046</v>
      </c>
      <c r="H533" s="355">
        <f>'MDA FGD'!$H$61</f>
        <v>0</v>
      </c>
      <c r="I533" s="355">
        <f>'MDA FGD'!$I$61</f>
        <v>0</v>
      </c>
      <c r="J533" s="355">
        <f>'MDA FGD'!$J$61</f>
        <v>0</v>
      </c>
      <c r="K533" s="355">
        <f>'MDA FGD'!$K$61</f>
        <v>0</v>
      </c>
      <c r="L533" s="355">
        <f>'MDA FGD'!$L$61</f>
        <v>2322378</v>
      </c>
      <c r="M533" s="357">
        <f>'MDA FGD'!$M$61</f>
        <v>122054502</v>
      </c>
      <c r="O533" s="309"/>
    </row>
    <row r="534" spans="1:15" hidden="1" outlineLevel="1">
      <c r="B534" s="392" t="str">
        <f>'RGVM FGD'!$B$2</f>
        <v>The University of Texas Rio Grande Valley Medical School (M)</v>
      </c>
      <c r="C534" s="159"/>
      <c r="D534" s="355">
        <f>'RGVM FGD'!$D$61</f>
        <v>0</v>
      </c>
      <c r="E534" s="355">
        <f>'RGVM FGD'!$E$61</f>
        <v>12499088</v>
      </c>
      <c r="F534" s="355">
        <f>'RGVM FGD'!$F$61</f>
        <v>0</v>
      </c>
      <c r="G534" s="355">
        <f>'RGVM FGD'!$G$61</f>
        <v>37500</v>
      </c>
      <c r="H534" s="355">
        <f>'RGVM FGD'!$H$61</f>
        <v>0</v>
      </c>
      <c r="I534" s="355">
        <f>'RGVM FGD'!$I$61</f>
        <v>0</v>
      </c>
      <c r="J534" s="355">
        <f>'RGVM FGD'!$J$61</f>
        <v>0</v>
      </c>
      <c r="K534" s="355">
        <f>'RGVM FGD'!$K$61</f>
        <v>0</v>
      </c>
      <c r="L534" s="355">
        <f>'RGVM FGD'!$L$61</f>
        <v>0</v>
      </c>
      <c r="M534" s="357">
        <f>'RGVM FGD'!$M$61</f>
        <v>12536588</v>
      </c>
      <c r="O534" s="309"/>
    </row>
    <row r="535" spans="1:15" hidden="1" outlineLevel="1">
      <c r="B535" s="392" t="str">
        <f>'SWM FGD'!$B$2</f>
        <v>The University of Texas Southwestern Medical Center</v>
      </c>
      <c r="C535" s="159"/>
      <c r="D535" s="355">
        <f>'SWM FGD'!$D$61</f>
        <v>116188</v>
      </c>
      <c r="E535" s="355">
        <f>'SWM FGD'!$E$61</f>
        <v>141991832</v>
      </c>
      <c r="F535" s="355">
        <f>'SWM FGD'!$F$61</f>
        <v>0</v>
      </c>
      <c r="G535" s="355">
        <f>'SWM FGD'!$G$61</f>
        <v>537971</v>
      </c>
      <c r="H535" s="355">
        <f>'SWM FGD'!$H$61</f>
        <v>0</v>
      </c>
      <c r="I535" s="355">
        <f>'SWM FGD'!$I$61</f>
        <v>0</v>
      </c>
      <c r="J535" s="355">
        <f>'SWM FGD'!$J$61</f>
        <v>0</v>
      </c>
      <c r="K535" s="355">
        <f>'SWM FGD'!$K$61</f>
        <v>0</v>
      </c>
      <c r="L535" s="355">
        <f>'SWM FGD'!$L$61</f>
        <v>-2924275</v>
      </c>
      <c r="M535" s="357">
        <f>'SWM FGD'!$M$61</f>
        <v>139721716</v>
      </c>
      <c r="O535" s="309"/>
    </row>
    <row r="536" spans="1:15" hidden="1" outlineLevel="1">
      <c r="B536" s="392" t="str">
        <f>'TAMHSC FGD'!$B$2</f>
        <v>Texas A&amp;M University System Health Science Center</v>
      </c>
      <c r="C536" s="159"/>
      <c r="D536" s="355">
        <f>'TAMHSC FGD'!$D$61</f>
        <v>0</v>
      </c>
      <c r="E536" s="355">
        <f>'TAMHSC FGD'!$E$61</f>
        <v>6727511</v>
      </c>
      <c r="F536" s="355">
        <f>'TAMHSC FGD'!$F$61</f>
        <v>30340</v>
      </c>
      <c r="G536" s="355">
        <f>'TAMHSC FGD'!$G$61</f>
        <v>1356519</v>
      </c>
      <c r="H536" s="355">
        <f>'TAMHSC FGD'!$H$61</f>
        <v>104841</v>
      </c>
      <c r="I536" s="355">
        <f>'TAMHSC FGD'!$I$61</f>
        <v>0</v>
      </c>
      <c r="J536" s="355">
        <f>'TAMHSC FGD'!$J$61</f>
        <v>0</v>
      </c>
      <c r="K536" s="355">
        <f>'TAMHSC FGD'!$K$61</f>
        <v>0</v>
      </c>
      <c r="L536" s="355">
        <f>'TAMHSC FGD'!$L$61</f>
        <v>3600637</v>
      </c>
      <c r="M536" s="357">
        <f>'TAMHSC FGD'!$M$61</f>
        <v>11819848</v>
      </c>
      <c r="O536" s="309"/>
    </row>
    <row r="537" spans="1:15" hidden="1" outlineLevel="1">
      <c r="B537" s="392" t="str">
        <f>'THC FGD'!$B$2</f>
        <v>The University of Texas Health Science Center at Tyler</v>
      </c>
      <c r="C537" s="159"/>
      <c r="D537" s="355">
        <f>'THC FGD'!$D$61</f>
        <v>1089850</v>
      </c>
      <c r="E537" s="355">
        <f>'THC FGD'!$E$61</f>
        <v>22284252</v>
      </c>
      <c r="F537" s="355">
        <f>'THC FGD'!$F$61</f>
        <v>0</v>
      </c>
      <c r="G537" s="355">
        <f>'THC FGD'!$G$61</f>
        <v>85148</v>
      </c>
      <c r="H537" s="355">
        <f>'THC FGD'!$H$61</f>
        <v>0</v>
      </c>
      <c r="I537" s="355">
        <f>'THC FGD'!$I$61</f>
        <v>0</v>
      </c>
      <c r="J537" s="355">
        <f>'THC FGD'!$J$61</f>
        <v>0</v>
      </c>
      <c r="K537" s="355">
        <f>'THC FGD'!$K$61</f>
        <v>0</v>
      </c>
      <c r="L537" s="355">
        <f>'THC FGD'!$L$61</f>
        <v>-267523</v>
      </c>
      <c r="M537" s="357">
        <f>'THC FGD'!$M$61</f>
        <v>23191727</v>
      </c>
      <c r="O537" s="309"/>
    </row>
    <row r="538" spans="1:15" hidden="1" outlineLevel="1">
      <c r="B538" s="392" t="str">
        <f>'TTUHSC FGD'!$B$2</f>
        <v>Texas Tech University Health Sciences Center</v>
      </c>
      <c r="C538" s="159"/>
      <c r="D538" s="355">
        <f>'TTUHSC FGD'!$D$61</f>
        <v>39</v>
      </c>
      <c r="E538" s="355">
        <f>'TTUHSC FGD'!$E$61</f>
        <v>22927833</v>
      </c>
      <c r="F538" s="355">
        <f>'TTUHSC FGD'!$F$61</f>
        <v>0</v>
      </c>
      <c r="G538" s="355">
        <f>'TTUHSC FGD'!$G$61</f>
        <v>1524</v>
      </c>
      <c r="H538" s="355">
        <f>'TTUHSC FGD'!$H$61</f>
        <v>-84316</v>
      </c>
      <c r="I538" s="355">
        <f>'TTUHSC FGD'!$I$61</f>
        <v>0</v>
      </c>
      <c r="J538" s="355">
        <f>'TTUHSC FGD'!$J$61</f>
        <v>-165</v>
      </c>
      <c r="K538" s="355">
        <f>'TTUHSC FGD'!$K$61</f>
        <v>0</v>
      </c>
      <c r="L538" s="355">
        <f>'TTUHSC FGD'!$L$61</f>
        <v>0</v>
      </c>
      <c r="M538" s="357">
        <f>'TTUHSC FGD'!$M$61</f>
        <v>22844915</v>
      </c>
      <c r="O538" s="309"/>
    </row>
    <row r="539" spans="1:15" hidden="1" outlineLevel="1">
      <c r="B539" s="392" t="str">
        <f>'TTUHSCEP FGD'!$B$2</f>
        <v>Texas Tech University Health Sciences Center at El Paso</v>
      </c>
      <c r="C539" s="159"/>
      <c r="D539" s="355">
        <f>'TTUHSCEP FGD'!$D$61</f>
        <v>2044</v>
      </c>
      <c r="E539" s="355">
        <f>'TTUHSCEP FGD'!$E$61</f>
        <v>13119687</v>
      </c>
      <c r="F539" s="355">
        <f>'TTUHSCEP FGD'!$F$61</f>
        <v>0</v>
      </c>
      <c r="G539" s="355">
        <f>'TTUHSCEP FGD'!$G$61</f>
        <v>0</v>
      </c>
      <c r="H539" s="355">
        <f>'TTUHSCEP FGD'!$H$61</f>
        <v>0</v>
      </c>
      <c r="I539" s="355">
        <f>'TTUHSCEP FGD'!$I$61</f>
        <v>0</v>
      </c>
      <c r="J539" s="355">
        <f>'TTUHSCEP FGD'!$J$61</f>
        <v>0</v>
      </c>
      <c r="K539" s="355">
        <f>'TTUHSCEP FGD'!$K$61</f>
        <v>0</v>
      </c>
      <c r="L539" s="355">
        <f>'TTUHSCEP FGD'!$L$61</f>
        <v>-114149</v>
      </c>
      <c r="M539" s="357">
        <f>'TTUHSCEP FGD'!$M$61</f>
        <v>13007582</v>
      </c>
      <c r="O539" s="309"/>
    </row>
    <row r="540" spans="1:15" hidden="1" outlineLevel="1">
      <c r="B540" s="392" t="str">
        <f>'UNTHSC FGD'!$B$2</f>
        <v>University of North Texas Health Science Center at Fort Worth</v>
      </c>
      <c r="C540" s="159"/>
      <c r="D540" s="355">
        <f>'UNTHSC FGD'!$D$61</f>
        <v>0</v>
      </c>
      <c r="E540" s="355">
        <f>'UNTHSC FGD'!$E$61</f>
        <v>829943</v>
      </c>
      <c r="F540" s="355">
        <f>'UNTHSC FGD'!$F$61</f>
        <v>0</v>
      </c>
      <c r="G540" s="355">
        <f>'UNTHSC FGD'!$G$61</f>
        <v>0</v>
      </c>
      <c r="H540" s="355">
        <f>'UNTHSC FGD'!$H$61</f>
        <v>32898</v>
      </c>
      <c r="I540" s="355">
        <f>'UNTHSC FGD'!$I$61</f>
        <v>0</v>
      </c>
      <c r="J540" s="355">
        <f>'UNTHSC FGD'!$J$61</f>
        <v>0</v>
      </c>
      <c r="K540" s="355">
        <f>'UNTHSC FGD'!$K$61</f>
        <v>0</v>
      </c>
      <c r="L540" s="355">
        <f>'UNTHSC FGD'!$L$61</f>
        <v>-297970</v>
      </c>
      <c r="M540" s="357">
        <f>'UNTHSC FGD'!$M$61</f>
        <v>564871</v>
      </c>
      <c r="O540" s="309"/>
    </row>
    <row r="541" spans="1:15" ht="13.5" customHeight="1" collapsed="1">
      <c r="A541" s="147">
        <v>44</v>
      </c>
      <c r="B541" s="149" t="s">
        <v>41</v>
      </c>
      <c r="D541" s="355">
        <f t="shared" ref="D541:M541" si="39">SUM(D529:D540)</f>
        <v>41899853</v>
      </c>
      <c r="E541" s="355">
        <f t="shared" si="39"/>
        <v>451590069</v>
      </c>
      <c r="F541" s="355">
        <f t="shared" si="39"/>
        <v>30340</v>
      </c>
      <c r="G541" s="355">
        <f t="shared" si="39"/>
        <v>9785228</v>
      </c>
      <c r="H541" s="355">
        <f t="shared" si="39"/>
        <v>597175</v>
      </c>
      <c r="I541" s="355">
        <f t="shared" si="39"/>
        <v>0</v>
      </c>
      <c r="J541" s="355">
        <f t="shared" si="39"/>
        <v>11668291</v>
      </c>
      <c r="K541" s="355">
        <f t="shared" si="39"/>
        <v>0</v>
      </c>
      <c r="L541" s="355">
        <f t="shared" si="39"/>
        <v>-630609</v>
      </c>
      <c r="M541" s="357">
        <f t="shared" si="39"/>
        <v>514940347</v>
      </c>
      <c r="O541" s="306"/>
    </row>
    <row r="542" spans="1:15" ht="13.5" hidden="1" customHeight="1" outlineLevel="1">
      <c r="B542" s="392" t="str">
        <f>'AUSM FGD'!$B$2</f>
        <v>The University of Texas at Austin Medical School (M)</v>
      </c>
      <c r="D542" s="355">
        <f>'AUSM FGD'!$D$62</f>
        <v>0</v>
      </c>
      <c r="E542" s="355">
        <f>'AUSM FGD'!$E$62</f>
        <v>49688238</v>
      </c>
      <c r="F542" s="355">
        <f>'AUSM FGD'!$F$62</f>
        <v>3152078</v>
      </c>
      <c r="G542" s="355">
        <f>'AUSM FGD'!$G$62</f>
        <v>19530606</v>
      </c>
      <c r="H542" s="355">
        <f>'AUSM FGD'!$H$62</f>
        <v>0</v>
      </c>
      <c r="I542" s="355">
        <f>'AUSM FGD'!$I$62</f>
        <v>-109</v>
      </c>
      <c r="J542" s="355">
        <f>'AUSM FGD'!$J$62</f>
        <v>0</v>
      </c>
      <c r="K542" s="355">
        <f>'AUSM FGD'!$K$62</f>
        <v>0</v>
      </c>
      <c r="L542" s="355">
        <f>'AUSM FGD'!$L$62</f>
        <v>122060</v>
      </c>
      <c r="M542" s="357">
        <f>'AUSM FGD'!$M$62</f>
        <v>72492873</v>
      </c>
      <c r="O542" s="306"/>
    </row>
    <row r="543" spans="1:15" ht="13.5" hidden="1" customHeight="1" outlineLevel="1">
      <c r="B543" s="392" t="str">
        <f>'HSH FGD'!$B$2</f>
        <v>The University of Texas Health Science Center at Houston</v>
      </c>
      <c r="D543" s="355">
        <f>'HSH FGD'!$D$62</f>
        <v>11745865</v>
      </c>
      <c r="E543" s="355">
        <f>'HSH FGD'!$E$62</f>
        <v>607031420</v>
      </c>
      <c r="F543" s="355">
        <f>'HSH FGD'!$F$62</f>
        <v>28038449</v>
      </c>
      <c r="G543" s="355">
        <f>'HSH FGD'!$G$62</f>
        <v>149793957</v>
      </c>
      <c r="H543" s="355">
        <f>'HSH FGD'!$H$62</f>
        <v>422885</v>
      </c>
      <c r="I543" s="355">
        <f>'HSH FGD'!$I$62</f>
        <v>1429472</v>
      </c>
      <c r="J543" s="355">
        <f>'HSH FGD'!$J$62</f>
        <v>626168</v>
      </c>
      <c r="K543" s="355">
        <f>'HSH FGD'!$K$62</f>
        <v>0</v>
      </c>
      <c r="L543" s="355">
        <f>'HSH FGD'!$L$62</f>
        <v>-427889</v>
      </c>
      <c r="M543" s="357">
        <f>'HSH FGD'!$M$62</f>
        <v>798660327</v>
      </c>
      <c r="O543" s="306"/>
    </row>
    <row r="544" spans="1:15" ht="13.5" hidden="1" customHeight="1" outlineLevel="1">
      <c r="B544" s="392" t="str">
        <f>'HSSA FGD'!$B$2</f>
        <v>The University of Texas Health Science Center at San Antonio</v>
      </c>
      <c r="D544" s="355">
        <f>'HSSA FGD'!$D$62</f>
        <v>5965915</v>
      </c>
      <c r="E544" s="355">
        <f>'HSSA FGD'!$E$62</f>
        <v>246389868</v>
      </c>
      <c r="F544" s="355">
        <f>'HSSA FGD'!$F$62</f>
        <v>5480027</v>
      </c>
      <c r="G544" s="355">
        <f>'HSSA FGD'!$G$62</f>
        <v>62513227</v>
      </c>
      <c r="H544" s="355">
        <f>'HSSA FGD'!$H$62</f>
        <v>150778</v>
      </c>
      <c r="I544" s="355">
        <f>'HSSA FGD'!$I$62</f>
        <v>104936</v>
      </c>
      <c r="J544" s="355">
        <f>'HSSA FGD'!$J$62</f>
        <v>500000</v>
      </c>
      <c r="K544" s="355">
        <f>'HSSA FGD'!$K$62</f>
        <v>0</v>
      </c>
      <c r="L544" s="355">
        <f>'HSSA FGD'!$L$62</f>
        <v>-456858</v>
      </c>
      <c r="M544" s="357">
        <f>'HSSA FGD'!$M$62</f>
        <v>320647893</v>
      </c>
      <c r="O544" s="306"/>
    </row>
    <row r="545" spans="1:15" ht="13.5" hidden="1" customHeight="1" outlineLevel="1">
      <c r="B545" s="392" t="str">
        <f>'MBG FGD'!$B$2</f>
        <v>The University of Texas Medical Branch at Galveston</v>
      </c>
      <c r="D545" s="355">
        <f>'MBG FGD'!$D$62</f>
        <v>33113477</v>
      </c>
      <c r="E545" s="355">
        <f>'MBG FGD'!$E$62</f>
        <v>97077386</v>
      </c>
      <c r="F545" s="355">
        <f>'MBG FGD'!$F$62</f>
        <v>13423622</v>
      </c>
      <c r="G545" s="355">
        <f>'MBG FGD'!$G$62</f>
        <v>60856008</v>
      </c>
      <c r="H545" s="355">
        <f>'MBG FGD'!$H$62</f>
        <v>237059</v>
      </c>
      <c r="I545" s="355">
        <f>'MBG FGD'!$I$62</f>
        <v>805334</v>
      </c>
      <c r="J545" s="355">
        <f>'MBG FGD'!$J$62</f>
        <v>73931591</v>
      </c>
      <c r="K545" s="355">
        <f>'MBG FGD'!$K$62</f>
        <v>0</v>
      </c>
      <c r="L545" s="355">
        <f>'MBG FGD'!$L$62</f>
        <v>-2187020</v>
      </c>
      <c r="M545" s="357">
        <f>'MBG FGD'!$M$62</f>
        <v>277257457</v>
      </c>
      <c r="O545" s="306"/>
    </row>
    <row r="546" spans="1:15" ht="13.5" hidden="1" customHeight="1" outlineLevel="1">
      <c r="B546" s="392" t="str">
        <f>'MDA FGD'!$B$2</f>
        <v>The University of Texas M.D. Anderson Cancer Center</v>
      </c>
      <c r="D546" s="355">
        <f>'MDA FGD'!$D$62</f>
        <v>74843729</v>
      </c>
      <c r="E546" s="355">
        <f>'MDA FGD'!$E$62</f>
        <v>273298286</v>
      </c>
      <c r="F546" s="355">
        <f>'MDA FGD'!$F$62</f>
        <v>44292397</v>
      </c>
      <c r="G546" s="355">
        <f>'MDA FGD'!$G$62</f>
        <v>250929822</v>
      </c>
      <c r="H546" s="355">
        <f>'MDA FGD'!$H$62</f>
        <v>0</v>
      </c>
      <c r="I546" s="355">
        <f>'MDA FGD'!$I$62</f>
        <v>125770</v>
      </c>
      <c r="J546" s="355">
        <f>'MDA FGD'!$J$62</f>
        <v>5521</v>
      </c>
      <c r="K546" s="355">
        <f>'MDA FGD'!$K$62</f>
        <v>0</v>
      </c>
      <c r="L546" s="355">
        <f>'MDA FGD'!$L$62</f>
        <v>2322378</v>
      </c>
      <c r="M546" s="357">
        <f>'MDA FGD'!$M$62</f>
        <v>645817903</v>
      </c>
      <c r="O546" s="306"/>
    </row>
    <row r="547" spans="1:15" ht="13.5" hidden="1" customHeight="1" outlineLevel="1">
      <c r="B547" s="392" t="str">
        <f>'RGVM FGD'!$B$2</f>
        <v>The University of Texas Rio Grande Valley Medical School (M)</v>
      </c>
      <c r="D547" s="355">
        <f>'RGVM FGD'!$D$62</f>
        <v>0</v>
      </c>
      <c r="E547" s="355">
        <f>'RGVM FGD'!$E$62</f>
        <v>41092680</v>
      </c>
      <c r="F547" s="355">
        <f>'RGVM FGD'!$F$62</f>
        <v>0</v>
      </c>
      <c r="G547" s="355">
        <f>'RGVM FGD'!$G$62</f>
        <v>4158570</v>
      </c>
      <c r="H547" s="355">
        <f>'RGVM FGD'!$H$62</f>
        <v>0</v>
      </c>
      <c r="I547" s="355">
        <f>'RGVM FGD'!$I$62</f>
        <v>-192</v>
      </c>
      <c r="J547" s="355">
        <f>'RGVM FGD'!$J$62</f>
        <v>0</v>
      </c>
      <c r="K547" s="355">
        <f>'RGVM FGD'!$K$62</f>
        <v>0</v>
      </c>
      <c r="L547" s="355">
        <f>'RGVM FGD'!$L$62</f>
        <v>0</v>
      </c>
      <c r="M547" s="357">
        <f>'RGVM FGD'!$M$62</f>
        <v>45251058</v>
      </c>
      <c r="O547" s="306"/>
    </row>
    <row r="548" spans="1:15" ht="13.5" hidden="1" customHeight="1" outlineLevel="1">
      <c r="B548" s="392" t="str">
        <f>'SWM FGD'!$B$2</f>
        <v>The University of Texas Southwestern Medical Center</v>
      </c>
      <c r="D548" s="355">
        <f>'SWM FGD'!$D$62</f>
        <v>381583</v>
      </c>
      <c r="E548" s="355">
        <f>'SWM FGD'!$E$62</f>
        <v>478346921</v>
      </c>
      <c r="F548" s="355">
        <f>'SWM FGD'!$F$62</f>
        <v>26353706</v>
      </c>
      <c r="G548" s="355">
        <f>'SWM FGD'!$G$62</f>
        <v>187471270</v>
      </c>
      <c r="H548" s="355">
        <f>'SWM FGD'!$H$62</f>
        <v>33832</v>
      </c>
      <c r="I548" s="355">
        <f>'SWM FGD'!$I$62</f>
        <v>710178</v>
      </c>
      <c r="J548" s="355">
        <f>'SWM FGD'!$J$62</f>
        <v>0</v>
      </c>
      <c r="K548" s="355">
        <f>'SWM FGD'!$K$62</f>
        <v>0</v>
      </c>
      <c r="L548" s="355">
        <f>'SWM FGD'!$L$62</f>
        <v>-2924275</v>
      </c>
      <c r="M548" s="357">
        <f>'SWM FGD'!$M$62</f>
        <v>690373215</v>
      </c>
      <c r="O548" s="306"/>
    </row>
    <row r="549" spans="1:15" ht="13.5" hidden="1" customHeight="1" outlineLevel="1">
      <c r="B549" s="392" t="str">
        <f>'TAMHSC FGD'!$B$2</f>
        <v>Texas A&amp;M University System Health Science Center</v>
      </c>
      <c r="D549" s="355">
        <f>'TAMHSC FGD'!$D$62</f>
        <v>10267014</v>
      </c>
      <c r="E549" s="355">
        <f>'TAMHSC FGD'!$E$62</f>
        <v>48761473</v>
      </c>
      <c r="F549" s="355">
        <f>'TAMHSC FGD'!$F$62</f>
        <v>1996371</v>
      </c>
      <c r="G549" s="355">
        <f>'TAMHSC FGD'!$G$62</f>
        <v>13101239</v>
      </c>
      <c r="H549" s="355">
        <f>'TAMHSC FGD'!$H$62</f>
        <v>131540</v>
      </c>
      <c r="I549" s="355">
        <f>'TAMHSC FGD'!$I$62</f>
        <v>992704</v>
      </c>
      <c r="J549" s="355">
        <f>'TAMHSC FGD'!$J$62</f>
        <v>0</v>
      </c>
      <c r="K549" s="355">
        <f>'TAMHSC FGD'!$K$62</f>
        <v>0</v>
      </c>
      <c r="L549" s="355">
        <f>'TAMHSC FGD'!$L$62</f>
        <v>3600637</v>
      </c>
      <c r="M549" s="357">
        <f>'TAMHSC FGD'!$M$62</f>
        <v>78850978</v>
      </c>
      <c r="O549" s="306"/>
    </row>
    <row r="550" spans="1:15" ht="13.5" hidden="1" customHeight="1" outlineLevel="1">
      <c r="B550" s="392" t="str">
        <f>'THC FGD'!$B$2</f>
        <v>The University of Texas Health Science Center at Tyler</v>
      </c>
      <c r="D550" s="355">
        <f>'THC FGD'!$D$62</f>
        <v>3542827</v>
      </c>
      <c r="E550" s="355">
        <f>'THC FGD'!$E$62</f>
        <v>32847358</v>
      </c>
      <c r="F550" s="355">
        <f>'THC FGD'!$F$62</f>
        <v>164836</v>
      </c>
      <c r="G550" s="355">
        <f>'THC FGD'!$G$62</f>
        <v>5923349</v>
      </c>
      <c r="H550" s="355">
        <f>'THC FGD'!$H$62</f>
        <v>0</v>
      </c>
      <c r="I550" s="355">
        <f>'THC FGD'!$I$62</f>
        <v>0</v>
      </c>
      <c r="J550" s="355">
        <f>'THC FGD'!$J$62</f>
        <v>617641</v>
      </c>
      <c r="K550" s="355">
        <f>'THC FGD'!$K$62</f>
        <v>0</v>
      </c>
      <c r="L550" s="355">
        <f>'THC FGD'!$L$62</f>
        <v>-267523</v>
      </c>
      <c r="M550" s="357">
        <f>'THC FGD'!$M$62</f>
        <v>42828488</v>
      </c>
      <c r="O550" s="306"/>
    </row>
    <row r="551" spans="1:15" ht="13.5" hidden="1" customHeight="1" outlineLevel="1">
      <c r="B551" s="392" t="str">
        <f>'TTUHSC FGD'!$B$2</f>
        <v>Texas Tech University Health Sciences Center</v>
      </c>
      <c r="D551" s="355">
        <f>'TTUHSC FGD'!$D$62</f>
        <v>512015</v>
      </c>
      <c r="E551" s="355">
        <f>'TTUHSC FGD'!$E$62</f>
        <v>110543288</v>
      </c>
      <c r="F551" s="355">
        <f>'TTUHSC FGD'!$F$62</f>
        <v>866971</v>
      </c>
      <c r="G551" s="355">
        <f>'TTUHSC FGD'!$G$62</f>
        <v>82548171</v>
      </c>
      <c r="H551" s="355">
        <f>'TTUHSC FGD'!$H$62</f>
        <v>-9884</v>
      </c>
      <c r="I551" s="355">
        <f>'TTUHSC FGD'!$I$62</f>
        <v>-1231889</v>
      </c>
      <c r="J551" s="355">
        <f>'TTUHSC FGD'!$J$62</f>
        <v>745594</v>
      </c>
      <c r="K551" s="355">
        <f>'TTUHSC FGD'!$K$62</f>
        <v>0</v>
      </c>
      <c r="L551" s="355">
        <f>'TTUHSC FGD'!$L$62</f>
        <v>0</v>
      </c>
      <c r="M551" s="357">
        <f>'TTUHSC FGD'!$M$62</f>
        <v>193974266</v>
      </c>
      <c r="O551" s="306"/>
    </row>
    <row r="552" spans="1:15" ht="13.5" hidden="1" customHeight="1" outlineLevel="1">
      <c r="B552" s="392" t="str">
        <f>'TTUHSCEP FGD'!$B$2</f>
        <v>Texas Tech University Health Sciences Center at El Paso</v>
      </c>
      <c r="D552" s="355">
        <f>'TTUHSCEP FGD'!$D$62</f>
        <v>34337</v>
      </c>
      <c r="E552" s="355">
        <f>'TTUHSCEP FGD'!$E$62</f>
        <v>88004575</v>
      </c>
      <c r="F552" s="355">
        <f>'TTUHSCEP FGD'!$F$62</f>
        <v>283767</v>
      </c>
      <c r="G552" s="355">
        <f>'TTUHSCEP FGD'!$G$62</f>
        <v>16950539</v>
      </c>
      <c r="H552" s="355">
        <f>'TTUHSCEP FGD'!$H$62</f>
        <v>6619</v>
      </c>
      <c r="I552" s="355">
        <f>'TTUHSCEP FGD'!$I$62</f>
        <v>-749572</v>
      </c>
      <c r="J552" s="355">
        <f>'TTUHSCEP FGD'!$J$62</f>
        <v>-194943</v>
      </c>
      <c r="K552" s="355">
        <f>'TTUHSCEP FGD'!$K$62</f>
        <v>0</v>
      </c>
      <c r="L552" s="355">
        <f>'TTUHSCEP FGD'!$L$62</f>
        <v>-114149</v>
      </c>
      <c r="M552" s="357">
        <f>'TTUHSCEP FGD'!$M$62</f>
        <v>104221173</v>
      </c>
      <c r="O552" s="306"/>
    </row>
    <row r="553" spans="1:15" ht="13.5" hidden="1" customHeight="1" outlineLevel="1">
      <c r="B553" s="392" t="str">
        <f>'UNTHSC FGD'!$B$2</f>
        <v>University of North Texas Health Science Center at Fort Worth</v>
      </c>
      <c r="D553" s="355">
        <f>'UNTHSC FGD'!$D$62</f>
        <v>69444</v>
      </c>
      <c r="E553" s="355">
        <f>'UNTHSC FGD'!$E$62</f>
        <v>68627482</v>
      </c>
      <c r="F553" s="355">
        <f>'UNTHSC FGD'!$F$62</f>
        <v>625243</v>
      </c>
      <c r="G553" s="355">
        <f>'UNTHSC FGD'!$G$62</f>
        <v>6005427</v>
      </c>
      <c r="H553" s="355">
        <f>'UNTHSC FGD'!$H$62</f>
        <v>75486</v>
      </c>
      <c r="I553" s="355">
        <f>'UNTHSC FGD'!$I$62</f>
        <v>3624867</v>
      </c>
      <c r="J553" s="355">
        <f>'UNTHSC FGD'!$J$62</f>
        <v>0</v>
      </c>
      <c r="K553" s="355">
        <f>'UNTHSC FGD'!$K$62</f>
        <v>209626</v>
      </c>
      <c r="L553" s="355">
        <f>'UNTHSC FGD'!$L$62</f>
        <v>-297970</v>
      </c>
      <c r="M553" s="357">
        <f>'UNTHSC FGD'!$M$62</f>
        <v>78939605</v>
      </c>
      <c r="O553" s="306"/>
    </row>
    <row r="554" spans="1:15" ht="12.75" customHeight="1" collapsed="1">
      <c r="A554" s="147">
        <v>45</v>
      </c>
      <c r="B554" s="158" t="s">
        <v>3</v>
      </c>
      <c r="C554" s="158"/>
      <c r="D554" s="356">
        <f t="shared" ref="D554:M554" si="40">SUM(D542:D553)</f>
        <v>140476206</v>
      </c>
      <c r="E554" s="356">
        <f t="shared" si="40"/>
        <v>2141708975</v>
      </c>
      <c r="F554" s="356">
        <f t="shared" si="40"/>
        <v>124677467</v>
      </c>
      <c r="G554" s="356">
        <f t="shared" si="40"/>
        <v>859782185</v>
      </c>
      <c r="H554" s="356">
        <f t="shared" si="40"/>
        <v>1048315</v>
      </c>
      <c r="I554" s="356">
        <f t="shared" si="40"/>
        <v>5811499</v>
      </c>
      <c r="J554" s="356">
        <f t="shared" si="40"/>
        <v>76231572</v>
      </c>
      <c r="K554" s="356">
        <f t="shared" si="40"/>
        <v>209626</v>
      </c>
      <c r="L554" s="356">
        <f t="shared" si="40"/>
        <v>-630609</v>
      </c>
      <c r="M554" s="356">
        <f t="shared" si="40"/>
        <v>3349315236</v>
      </c>
      <c r="O554" s="293" t="str">
        <f>IF(M554&lt;&gt;M1034,"Error","OK")</f>
        <v>OK</v>
      </c>
    </row>
    <row r="555" spans="1:15" ht="12.75" hidden="1" customHeight="1" outlineLevel="1">
      <c r="B555" s="392" t="str">
        <f>'AUSM FGD'!$B$2</f>
        <v>The University of Texas at Austin Medical School (M)</v>
      </c>
      <c r="C555" s="158"/>
      <c r="D555" s="356">
        <f>'AUSM FGD'!$D$63</f>
        <v>31775615</v>
      </c>
      <c r="E555" s="356">
        <f>'AUSM FGD'!$E$63</f>
        <v>55273384</v>
      </c>
      <c r="F555" s="356">
        <f>'AUSM FGD'!$F$63</f>
        <v>3152078</v>
      </c>
      <c r="G555" s="356">
        <f>'AUSM FGD'!$G$63</f>
        <v>30277191</v>
      </c>
      <c r="H555" s="356">
        <f>'AUSM FGD'!$H$63</f>
        <v>0</v>
      </c>
      <c r="I555" s="356">
        <f>'AUSM FGD'!$I$63</f>
        <v>-109</v>
      </c>
      <c r="J555" s="356">
        <f>'AUSM FGD'!$J$63</f>
        <v>0</v>
      </c>
      <c r="K555" s="356">
        <f>'AUSM FGD'!$K$63</f>
        <v>0</v>
      </c>
      <c r="L555" s="356">
        <f>'AUSM FGD'!$L$63</f>
        <v>122060</v>
      </c>
      <c r="M555" s="356">
        <f>'AUSM FGD'!$M$63</f>
        <v>120600219</v>
      </c>
      <c r="O555" s="306"/>
    </row>
    <row r="556" spans="1:15" ht="12.75" hidden="1" customHeight="1" outlineLevel="1">
      <c r="B556" s="392" t="str">
        <f>'HSH FGD'!$B$2</f>
        <v>The University of Texas Health Science Center at Houston</v>
      </c>
      <c r="C556" s="158"/>
      <c r="D556" s="356">
        <f>'HSH FGD'!$D$63</f>
        <v>302751862</v>
      </c>
      <c r="E556" s="356">
        <f>'HSH FGD'!$E$63</f>
        <v>1069595183</v>
      </c>
      <c r="F556" s="356">
        <f>'HSH FGD'!$F$63</f>
        <v>30464995</v>
      </c>
      <c r="G556" s="356">
        <f>'HSH FGD'!$G$63</f>
        <v>281279954</v>
      </c>
      <c r="H556" s="356">
        <f>'HSH FGD'!$H$63</f>
        <v>422885</v>
      </c>
      <c r="I556" s="356">
        <f>'HSH FGD'!$I$63</f>
        <v>1429472</v>
      </c>
      <c r="J556" s="356">
        <f>'HSH FGD'!$J$63</f>
        <v>626168</v>
      </c>
      <c r="K556" s="356">
        <f>'HSH FGD'!$K$63</f>
        <v>0</v>
      </c>
      <c r="L556" s="356">
        <f>'HSH FGD'!$L$63</f>
        <v>-427889</v>
      </c>
      <c r="M556" s="356">
        <f>'HSH FGD'!$M$63</f>
        <v>1686142630</v>
      </c>
      <c r="O556" s="306"/>
    </row>
    <row r="557" spans="1:15" ht="12.75" hidden="1" customHeight="1" outlineLevel="1">
      <c r="B557" s="392" t="str">
        <f>'HSSA FGD'!$B$2</f>
        <v>The University of Texas Health Science Center at San Antonio</v>
      </c>
      <c r="C557" s="158"/>
      <c r="D557" s="356">
        <f>'HSSA FGD'!$D$63</f>
        <v>188420192</v>
      </c>
      <c r="E557" s="356">
        <f>'HSSA FGD'!$E$63</f>
        <v>519435397</v>
      </c>
      <c r="F557" s="356">
        <f>'HSSA FGD'!$F$63</f>
        <v>8295243</v>
      </c>
      <c r="G557" s="356">
        <f>'HSSA FGD'!$G$63</f>
        <v>154419128</v>
      </c>
      <c r="H557" s="356">
        <f>'HSSA FGD'!$H$63</f>
        <v>150778</v>
      </c>
      <c r="I557" s="356">
        <f>'HSSA FGD'!$I$63</f>
        <v>104936</v>
      </c>
      <c r="J557" s="356">
        <f>'HSSA FGD'!$J$63</f>
        <v>500000</v>
      </c>
      <c r="K557" s="356">
        <f>'HSSA FGD'!$K$63</f>
        <v>0</v>
      </c>
      <c r="L557" s="356">
        <f>'HSSA FGD'!$L$63</f>
        <v>-456858</v>
      </c>
      <c r="M557" s="356">
        <f>'HSSA FGD'!$M$63</f>
        <v>870868816</v>
      </c>
      <c r="O557" s="306"/>
    </row>
    <row r="558" spans="1:15" ht="12.75" hidden="1" customHeight="1" outlineLevel="1">
      <c r="B558" s="392" t="str">
        <f>'MBG FGD'!$B$2</f>
        <v>The University of Texas Medical Branch at Galveston</v>
      </c>
      <c r="C558" s="158"/>
      <c r="D558" s="356">
        <f>'MBG FGD'!$D$63</f>
        <v>1037991521</v>
      </c>
      <c r="E558" s="356">
        <f>'MBG FGD'!$E$63</f>
        <v>930494443</v>
      </c>
      <c r="F558" s="356">
        <f>'MBG FGD'!$F$63</f>
        <v>13958044</v>
      </c>
      <c r="G558" s="356">
        <f>'MBG FGD'!$G$63</f>
        <v>167856513</v>
      </c>
      <c r="H558" s="356">
        <f>'MBG FGD'!$H$63</f>
        <v>237059</v>
      </c>
      <c r="I558" s="356">
        <f>'MBG FGD'!$I$63</f>
        <v>805334</v>
      </c>
      <c r="J558" s="356">
        <f>'MBG FGD'!$J$63</f>
        <v>73578746</v>
      </c>
      <c r="K558" s="356">
        <f>'MBG FGD'!$K$63</f>
        <v>0</v>
      </c>
      <c r="L558" s="356">
        <f>'MBG FGD'!$L$63</f>
        <v>-2187020</v>
      </c>
      <c r="M558" s="356">
        <f>'MBG FGD'!$M$63</f>
        <v>2222734640</v>
      </c>
      <c r="O558" s="306"/>
    </row>
    <row r="559" spans="1:15" ht="12.75" hidden="1" customHeight="1" outlineLevel="1">
      <c r="B559" s="392" t="str">
        <f>'MDA FGD'!$B$2</f>
        <v>The University of Texas M.D. Anderson Cancer Center</v>
      </c>
      <c r="C559" s="158"/>
      <c r="D559" s="356">
        <f>'MDA FGD'!$D$63</f>
        <v>3966044850</v>
      </c>
      <c r="E559" s="356">
        <f>'MDA FGD'!$E$63</f>
        <v>736721199</v>
      </c>
      <c r="F559" s="356">
        <f>'MDA FGD'!$F$63</f>
        <v>44292397</v>
      </c>
      <c r="G559" s="356">
        <f>'MDA FGD'!$G$63</f>
        <v>415378695</v>
      </c>
      <c r="H559" s="356">
        <f>'MDA FGD'!$H$63</f>
        <v>0</v>
      </c>
      <c r="I559" s="356">
        <f>'MDA FGD'!$I$63</f>
        <v>125770</v>
      </c>
      <c r="J559" s="356">
        <f>'MDA FGD'!$J$63</f>
        <v>5521</v>
      </c>
      <c r="K559" s="356">
        <f>'MDA FGD'!$K$63</f>
        <v>0</v>
      </c>
      <c r="L559" s="356">
        <f>'MDA FGD'!$L$63</f>
        <v>2322378</v>
      </c>
      <c r="M559" s="356">
        <f>'MDA FGD'!$M$63</f>
        <v>5164890810</v>
      </c>
      <c r="O559" s="306"/>
    </row>
    <row r="560" spans="1:15" ht="12.75" hidden="1" customHeight="1" outlineLevel="1">
      <c r="B560" s="392" t="str">
        <f>'RGVM FGD'!$B$2</f>
        <v>The University of Texas Rio Grande Valley Medical School (M)</v>
      </c>
      <c r="C560" s="158"/>
      <c r="D560" s="356">
        <f>'RGVM FGD'!$D$63</f>
        <v>30018913</v>
      </c>
      <c r="E560" s="356">
        <f>'RGVM FGD'!$E$63</f>
        <v>47013812</v>
      </c>
      <c r="F560" s="356">
        <f>'RGVM FGD'!$F$63</f>
        <v>99537</v>
      </c>
      <c r="G560" s="356">
        <f>'RGVM FGD'!$G$63</f>
        <v>8456324</v>
      </c>
      <c r="H560" s="356">
        <f>'RGVM FGD'!$H$63</f>
        <v>0</v>
      </c>
      <c r="I560" s="356">
        <f>'RGVM FGD'!$I$63</f>
        <v>-192</v>
      </c>
      <c r="J560" s="356">
        <f>'RGVM FGD'!$J$63</f>
        <v>0</v>
      </c>
      <c r="K560" s="356">
        <f>'RGVM FGD'!$K$63</f>
        <v>0</v>
      </c>
      <c r="L560" s="356">
        <f>'RGVM FGD'!$L$63</f>
        <v>0</v>
      </c>
      <c r="M560" s="356">
        <f>'RGVM FGD'!$M$63</f>
        <v>85588394</v>
      </c>
      <c r="O560" s="306"/>
    </row>
    <row r="561" spans="1:15" ht="12.75" hidden="1" customHeight="1" outlineLevel="1">
      <c r="B561" s="392" t="str">
        <f>'SWM FGD'!$B$2</f>
        <v>The University of Texas Southwestern Medical Center</v>
      </c>
      <c r="C561" s="158"/>
      <c r="D561" s="356">
        <f>'SWM FGD'!$D$63</f>
        <v>201698607</v>
      </c>
      <c r="E561" s="356">
        <f>'SWM FGD'!$E$63</f>
        <v>2533253863</v>
      </c>
      <c r="F561" s="356">
        <f>'SWM FGD'!$F$63</f>
        <v>27858476</v>
      </c>
      <c r="G561" s="356">
        <f>'SWM FGD'!$G$63</f>
        <v>364801545</v>
      </c>
      <c r="H561" s="356">
        <f>'SWM FGD'!$H$63</f>
        <v>33832</v>
      </c>
      <c r="I561" s="356">
        <f>'SWM FGD'!$I$63</f>
        <v>710178</v>
      </c>
      <c r="J561" s="356">
        <f>'SWM FGD'!$J$63</f>
        <v>0</v>
      </c>
      <c r="K561" s="356">
        <f>'SWM FGD'!$K$63</f>
        <v>0</v>
      </c>
      <c r="L561" s="356">
        <f>'SWM FGD'!$L$63</f>
        <v>-2924275</v>
      </c>
      <c r="M561" s="356">
        <f>'SWM FGD'!$M$63</f>
        <v>3125432226</v>
      </c>
      <c r="O561" s="306"/>
    </row>
    <row r="562" spans="1:15" ht="12.75" hidden="1" customHeight="1" outlineLevel="1">
      <c r="B562" s="392" t="str">
        <f>'TAMHSC FGD'!$B$2</f>
        <v>Texas A&amp;M University System Health Science Center</v>
      </c>
      <c r="C562" s="158"/>
      <c r="D562" s="356">
        <f>'TAMHSC FGD'!$D$63</f>
        <v>189300811</v>
      </c>
      <c r="E562" s="356">
        <f>'TAMHSC FGD'!$E$63</f>
        <v>97904732</v>
      </c>
      <c r="F562" s="356">
        <f>'TAMHSC FGD'!$F$63</f>
        <v>3102179</v>
      </c>
      <c r="G562" s="356">
        <f>'TAMHSC FGD'!$G$63</f>
        <v>50131681</v>
      </c>
      <c r="H562" s="356">
        <f>'TAMHSC FGD'!$H$63</f>
        <v>131540</v>
      </c>
      <c r="I562" s="356">
        <f>'TAMHSC FGD'!$I$63</f>
        <v>992704</v>
      </c>
      <c r="J562" s="356">
        <f>'TAMHSC FGD'!$J$63</f>
        <v>0</v>
      </c>
      <c r="K562" s="356">
        <f>'TAMHSC FGD'!$K$63</f>
        <v>0</v>
      </c>
      <c r="L562" s="356">
        <f>'TAMHSC FGD'!$L$63</f>
        <v>3600637</v>
      </c>
      <c r="M562" s="356">
        <f>'TAMHSC FGD'!$M$63</f>
        <v>345164284</v>
      </c>
      <c r="O562" s="306"/>
    </row>
    <row r="563" spans="1:15" ht="12.75" hidden="1" customHeight="1" outlineLevel="1">
      <c r="B563" s="392" t="str">
        <f>'THC FGD'!$B$2</f>
        <v>The University of Texas Health Science Center at Tyler</v>
      </c>
      <c r="C563" s="158"/>
      <c r="D563" s="356">
        <f>'THC FGD'!$D$63</f>
        <v>126700344</v>
      </c>
      <c r="E563" s="356">
        <f>'THC FGD'!$E$63</f>
        <v>53369970</v>
      </c>
      <c r="F563" s="356">
        <f>'THC FGD'!$F$63</f>
        <v>164836</v>
      </c>
      <c r="G563" s="356">
        <f>'THC FGD'!$G$63</f>
        <v>17096358</v>
      </c>
      <c r="H563" s="356">
        <f>'THC FGD'!$H$63</f>
        <v>0</v>
      </c>
      <c r="I563" s="356">
        <f>'THC FGD'!$I$63</f>
        <v>0</v>
      </c>
      <c r="J563" s="356">
        <f>'THC FGD'!$J$63</f>
        <v>617641</v>
      </c>
      <c r="K563" s="356">
        <f>'THC FGD'!$K$63</f>
        <v>0</v>
      </c>
      <c r="L563" s="356">
        <f>'THC FGD'!$L$63</f>
        <v>-267523</v>
      </c>
      <c r="M563" s="356">
        <f>'THC FGD'!$M$63</f>
        <v>197681626</v>
      </c>
      <c r="O563" s="306"/>
    </row>
    <row r="564" spans="1:15" ht="12.75" hidden="1" customHeight="1" outlineLevel="1">
      <c r="B564" s="392" t="str">
        <f>'TTUHSC FGD'!$B$2</f>
        <v>Texas Tech University Health Sciences Center</v>
      </c>
      <c r="C564" s="158"/>
      <c r="D564" s="356">
        <f>'TTUHSC FGD'!$D$63</f>
        <v>198822477</v>
      </c>
      <c r="E564" s="356">
        <f>'TTUHSC FGD'!$E$63</f>
        <v>263321242</v>
      </c>
      <c r="F564" s="356">
        <f>'TTUHSC FGD'!$F$63</f>
        <v>866971</v>
      </c>
      <c r="G564" s="356">
        <f>'TTUHSC FGD'!$G$63</f>
        <v>226197344</v>
      </c>
      <c r="H564" s="356">
        <f>'TTUHSC FGD'!$H$63</f>
        <v>517</v>
      </c>
      <c r="I564" s="356">
        <f>'TTUHSC FGD'!$I$63</f>
        <v>-1231889</v>
      </c>
      <c r="J564" s="356">
        <f>'TTUHSC FGD'!$J$63</f>
        <v>745594</v>
      </c>
      <c r="K564" s="356">
        <f>'TTUHSC FGD'!$K$63</f>
        <v>0</v>
      </c>
      <c r="L564" s="356">
        <f>'TTUHSC FGD'!$L$63</f>
        <v>0</v>
      </c>
      <c r="M564" s="356">
        <f>'TTUHSC FGD'!$M$63</f>
        <v>688722256</v>
      </c>
      <c r="O564" s="306"/>
    </row>
    <row r="565" spans="1:15" ht="12.75" hidden="1" customHeight="1" outlineLevel="1">
      <c r="B565" s="392" t="str">
        <f>'TTUHSCEP FGD'!$B$2</f>
        <v>Texas Tech University Health Sciences Center at El Paso</v>
      </c>
      <c r="C565" s="158"/>
      <c r="D565" s="356">
        <f>'TTUHSCEP FGD'!$D$63</f>
        <v>86396847</v>
      </c>
      <c r="E565" s="356">
        <f>'TTUHSCEP FGD'!$E$63</f>
        <v>147360953</v>
      </c>
      <c r="F565" s="356">
        <f>'TTUHSCEP FGD'!$F$63</f>
        <v>283767</v>
      </c>
      <c r="G565" s="356">
        <f>'TTUHSCEP FGD'!$G$63</f>
        <v>23839426</v>
      </c>
      <c r="H565" s="356">
        <f>'TTUHSCEP FGD'!$H$63</f>
        <v>6619</v>
      </c>
      <c r="I565" s="356">
        <f>'TTUHSCEP FGD'!$I$63</f>
        <v>-749572</v>
      </c>
      <c r="J565" s="356">
        <f>'TTUHSCEP FGD'!$J$63</f>
        <v>-194943</v>
      </c>
      <c r="K565" s="356">
        <f>'TTUHSCEP FGD'!$K$63</f>
        <v>0</v>
      </c>
      <c r="L565" s="356">
        <f>'TTUHSCEP FGD'!$L$63</f>
        <v>-114149</v>
      </c>
      <c r="M565" s="356">
        <f>'TTUHSCEP FGD'!$M$63</f>
        <v>256828948</v>
      </c>
      <c r="O565" s="306"/>
    </row>
    <row r="566" spans="1:15" ht="12.75" hidden="1" customHeight="1" outlineLevel="1">
      <c r="B566" s="392" t="str">
        <f>'UNTHSC FGD'!$B$2</f>
        <v>University of North Texas Health Science Center at Fort Worth</v>
      </c>
      <c r="C566" s="158"/>
      <c r="D566" s="356">
        <f>'UNTHSC FGD'!$D$63</f>
        <v>130893289</v>
      </c>
      <c r="E566" s="356">
        <f>'UNTHSC FGD'!$E$63</f>
        <v>104102964</v>
      </c>
      <c r="F566" s="356">
        <f>'UNTHSC FGD'!$F$63</f>
        <v>625243</v>
      </c>
      <c r="G566" s="356">
        <f>'UNTHSC FGD'!$G$63</f>
        <v>44895624</v>
      </c>
      <c r="H566" s="356">
        <f>'UNTHSC FGD'!$H$63</f>
        <v>75486</v>
      </c>
      <c r="I566" s="356">
        <f>'UNTHSC FGD'!$I$63</f>
        <v>3624867</v>
      </c>
      <c r="J566" s="356">
        <f>'UNTHSC FGD'!$J$63</f>
        <v>0</v>
      </c>
      <c r="K566" s="356">
        <f>'UNTHSC FGD'!$K$63</f>
        <v>209626</v>
      </c>
      <c r="L566" s="356">
        <f>'UNTHSC FGD'!$L$63</f>
        <v>-297970</v>
      </c>
      <c r="M566" s="356">
        <f>'UNTHSC FGD'!$M$63</f>
        <v>284129129</v>
      </c>
      <c r="O566" s="306"/>
    </row>
    <row r="567" spans="1:15" ht="12.75" customHeight="1" collapsed="1">
      <c r="A567" s="147">
        <v>46</v>
      </c>
      <c r="B567" s="160" t="s">
        <v>71</v>
      </c>
      <c r="C567" s="160"/>
      <c r="D567" s="356">
        <f t="shared" ref="D567:M567" si="41">SUM(D555:D566)</f>
        <v>6490815328</v>
      </c>
      <c r="E567" s="356">
        <f t="shared" si="41"/>
        <v>6557847142</v>
      </c>
      <c r="F567" s="356">
        <f t="shared" si="41"/>
        <v>133163766</v>
      </c>
      <c r="G567" s="356">
        <f t="shared" si="41"/>
        <v>1784629783</v>
      </c>
      <c r="H567" s="356">
        <f t="shared" si="41"/>
        <v>1058716</v>
      </c>
      <c r="I567" s="356">
        <f t="shared" si="41"/>
        <v>5811499</v>
      </c>
      <c r="J567" s="356">
        <f t="shared" si="41"/>
        <v>75878727</v>
      </c>
      <c r="K567" s="356">
        <f t="shared" si="41"/>
        <v>209626</v>
      </c>
      <c r="L567" s="356">
        <f t="shared" si="41"/>
        <v>-630609</v>
      </c>
      <c r="M567" s="356">
        <f t="shared" si="41"/>
        <v>15048783978</v>
      </c>
      <c r="O567" s="293" t="str">
        <f>IF(M567&lt;&gt;M1035,"Error","OK")</f>
        <v>OK</v>
      </c>
    </row>
    <row r="568" spans="1:15" ht="19.5" customHeight="1">
      <c r="B568" s="153" t="s">
        <v>75</v>
      </c>
      <c r="C568" s="153"/>
      <c r="D568" s="356"/>
      <c r="E568" s="356"/>
      <c r="F568" s="356"/>
      <c r="G568" s="1272"/>
      <c r="H568" s="1272"/>
      <c r="I568" s="1272"/>
      <c r="J568" s="1272"/>
      <c r="K568" s="1272"/>
      <c r="L568" s="356"/>
      <c r="M568" s="356"/>
      <c r="O568" s="306"/>
    </row>
    <row r="569" spans="1:15" ht="19.5" hidden="1" customHeight="1" outlineLevel="1">
      <c r="B569" s="392" t="str">
        <f>'AUSM FGD'!$B$2</f>
        <v>The University of Texas at Austin Medical School (M)</v>
      </c>
      <c r="C569" s="560"/>
      <c r="D569" s="346">
        <f>'AUSM FGD'!$D$65</f>
        <v>3542801</v>
      </c>
      <c r="E569" s="346">
        <f>'AUSM FGD'!$E$65</f>
        <v>93495</v>
      </c>
      <c r="F569" s="346">
        <f>'AUSM FGD'!$F$65</f>
        <v>0</v>
      </c>
      <c r="G569" s="561">
        <f>'AUSM FGD'!$G$65</f>
        <v>463167</v>
      </c>
      <c r="H569" s="561">
        <f>'AUSM FGD'!$H$65</f>
        <v>0</v>
      </c>
      <c r="I569" s="561">
        <f>'AUSM FGD'!$I$65</f>
        <v>0</v>
      </c>
      <c r="J569" s="561">
        <f>'AUSM FGD'!$J$65</f>
        <v>0</v>
      </c>
      <c r="K569" s="561">
        <f>'AUSM FGD'!$K$65</f>
        <v>0</v>
      </c>
      <c r="L569" s="346">
        <f>'AUSM FGD'!$L$65</f>
        <v>0</v>
      </c>
      <c r="M569" s="346">
        <f>'AUSM FGD'!$M$65</f>
        <v>4099463</v>
      </c>
      <c r="O569" s="306"/>
    </row>
    <row r="570" spans="1:15" ht="19.5" hidden="1" customHeight="1" outlineLevel="1">
      <c r="B570" s="392" t="str">
        <f>'HSH FGD'!$B$2</f>
        <v>The University of Texas Health Science Center at Houston</v>
      </c>
      <c r="C570" s="560"/>
      <c r="D570" s="346">
        <f>'HSH FGD'!$D$65</f>
        <v>103649086</v>
      </c>
      <c r="E570" s="346">
        <f>'HSH FGD'!$E$65</f>
        <v>603180949</v>
      </c>
      <c r="F570" s="346">
        <f>'HSH FGD'!$F$65</f>
        <v>0</v>
      </c>
      <c r="G570" s="561">
        <f>'HSH FGD'!$G$65</f>
        <v>10254849</v>
      </c>
      <c r="H570" s="561">
        <f>'HSH FGD'!$H$65</f>
        <v>0</v>
      </c>
      <c r="I570" s="561">
        <f>'HSH FGD'!$I$65</f>
        <v>0</v>
      </c>
      <c r="J570" s="561">
        <f>'HSH FGD'!$J$65</f>
        <v>0</v>
      </c>
      <c r="K570" s="561">
        <f>'HSH FGD'!$K$65</f>
        <v>0</v>
      </c>
      <c r="L570" s="346">
        <f>'HSH FGD'!$L$65</f>
        <v>0</v>
      </c>
      <c r="M570" s="346">
        <f>'HSH FGD'!$M$65</f>
        <v>717084884</v>
      </c>
      <c r="O570" s="306"/>
    </row>
    <row r="571" spans="1:15" ht="19.5" hidden="1" customHeight="1" outlineLevel="1">
      <c r="B571" s="392" t="str">
        <f>'HSSA FGD'!$B$2</f>
        <v>The University of Texas Health Science Center at San Antonio</v>
      </c>
      <c r="C571" s="560"/>
      <c r="D571" s="346">
        <f>'HSSA FGD'!$D$65</f>
        <v>99976330</v>
      </c>
      <c r="E571" s="346">
        <f>'HSSA FGD'!$E$65</f>
        <v>264327783</v>
      </c>
      <c r="F571" s="346">
        <f>'HSSA FGD'!$F$65</f>
        <v>0</v>
      </c>
      <c r="G571" s="561">
        <f>'HSSA FGD'!$G$65</f>
        <v>16665064</v>
      </c>
      <c r="H571" s="561">
        <f>'HSSA FGD'!$H$65</f>
        <v>0</v>
      </c>
      <c r="I571" s="561">
        <f>'HSSA FGD'!$I$65</f>
        <v>0</v>
      </c>
      <c r="J571" s="561">
        <f>'HSSA FGD'!$J$65</f>
        <v>0</v>
      </c>
      <c r="K571" s="561">
        <f>'HSSA FGD'!$K$65</f>
        <v>0</v>
      </c>
      <c r="L571" s="346">
        <f>'HSSA FGD'!$L$65</f>
        <v>0</v>
      </c>
      <c r="M571" s="346">
        <f>'HSSA FGD'!$M$65</f>
        <v>380969177</v>
      </c>
      <c r="O571" s="306"/>
    </row>
    <row r="572" spans="1:15" ht="19.5" hidden="1" customHeight="1" outlineLevel="1">
      <c r="B572" s="392" t="str">
        <f>'MBG FGD'!$B$2</f>
        <v>The University of Texas Medical Branch at Galveston</v>
      </c>
      <c r="C572" s="560"/>
      <c r="D572" s="346">
        <f>'MBG FGD'!$D$65</f>
        <v>80955545</v>
      </c>
      <c r="E572" s="346">
        <f>'MBG FGD'!$E$65</f>
        <v>238544220</v>
      </c>
      <c r="F572" s="346">
        <f>'MBG FGD'!$F$65</f>
        <v>0</v>
      </c>
      <c r="G572" s="561">
        <f>'MBG FGD'!$G$65</f>
        <v>17710832</v>
      </c>
      <c r="H572" s="561">
        <f>'MBG FGD'!$H$65</f>
        <v>0</v>
      </c>
      <c r="I572" s="561">
        <f>'MBG FGD'!$I$65</f>
        <v>0</v>
      </c>
      <c r="J572" s="561">
        <f>'MBG FGD'!$J$65</f>
        <v>0</v>
      </c>
      <c r="K572" s="561">
        <f>'MBG FGD'!$K$65</f>
        <v>0</v>
      </c>
      <c r="L572" s="346">
        <f>'MBG FGD'!$L$65</f>
        <v>0</v>
      </c>
      <c r="M572" s="346">
        <f>'MBG FGD'!$M$65</f>
        <v>337210597</v>
      </c>
      <c r="O572" s="306"/>
    </row>
    <row r="573" spans="1:15" ht="19.5" hidden="1" customHeight="1" outlineLevel="1">
      <c r="B573" s="392" t="str">
        <f>'MDA FGD'!$B$2</f>
        <v>The University of Texas M.D. Anderson Cancer Center</v>
      </c>
      <c r="C573" s="560"/>
      <c r="D573" s="346">
        <f>'MDA FGD'!$D$65</f>
        <v>69040444</v>
      </c>
      <c r="E573" s="346">
        <f>'MDA FGD'!$E$65</f>
        <v>4620097</v>
      </c>
      <c r="F573" s="346">
        <f>'MDA FGD'!$F$65</f>
        <v>0</v>
      </c>
      <c r="G573" s="561">
        <f>'MDA FGD'!$G$65</f>
        <v>3673330</v>
      </c>
      <c r="H573" s="561">
        <f>'MDA FGD'!$H$65</f>
        <v>0</v>
      </c>
      <c r="I573" s="561">
        <f>'MDA FGD'!$I$65</f>
        <v>0</v>
      </c>
      <c r="J573" s="561">
        <f>'MDA FGD'!$J$65</f>
        <v>0</v>
      </c>
      <c r="K573" s="561">
        <f>'MDA FGD'!$K$65</f>
        <v>0</v>
      </c>
      <c r="L573" s="346">
        <f>'MDA FGD'!$L$65</f>
        <v>0</v>
      </c>
      <c r="M573" s="346">
        <f>'MDA FGD'!$M$65</f>
        <v>77333871</v>
      </c>
      <c r="O573" s="306"/>
    </row>
    <row r="574" spans="1:15" ht="19.5" hidden="1" customHeight="1" outlineLevel="1">
      <c r="B574" s="392" t="str">
        <f>'RGVM FGD'!$B$2</f>
        <v>The University of Texas Rio Grande Valley Medical School (M)</v>
      </c>
      <c r="C574" s="560"/>
      <c r="D574" s="346">
        <f>'RGVM FGD'!$D$65</f>
        <v>14076861</v>
      </c>
      <c r="E574" s="346">
        <f>'RGVM FGD'!$E$65</f>
        <v>2891437</v>
      </c>
      <c r="F574" s="346">
        <f>'RGVM FGD'!$F$65</f>
        <v>0</v>
      </c>
      <c r="G574" s="561">
        <f>'RGVM FGD'!$G$65</f>
        <v>758650</v>
      </c>
      <c r="H574" s="561">
        <f>'RGVM FGD'!$H$65</f>
        <v>0</v>
      </c>
      <c r="I574" s="561">
        <f>'RGVM FGD'!$I$65</f>
        <v>0</v>
      </c>
      <c r="J574" s="561">
        <f>'RGVM FGD'!$J$65</f>
        <v>0</v>
      </c>
      <c r="K574" s="561">
        <f>'RGVM FGD'!$K$65</f>
        <v>0</v>
      </c>
      <c r="L574" s="346">
        <f>'RGVM FGD'!$L$65</f>
        <v>0</v>
      </c>
      <c r="M574" s="346">
        <f>'RGVM FGD'!$M$65</f>
        <v>17726948</v>
      </c>
      <c r="O574" s="306"/>
    </row>
    <row r="575" spans="1:15" ht="19.5" hidden="1" customHeight="1" outlineLevel="1">
      <c r="B575" s="392" t="str">
        <f>'SWM FGD'!$B$2</f>
        <v>The University of Texas Southwestern Medical Center</v>
      </c>
      <c r="C575" s="560"/>
      <c r="D575" s="346">
        <f>'SWM FGD'!$D$65</f>
        <v>89854277</v>
      </c>
      <c r="E575" s="346">
        <f>'SWM FGD'!$E$65</f>
        <v>858390009</v>
      </c>
      <c r="F575" s="346">
        <f>'SWM FGD'!$F$65</f>
        <v>0</v>
      </c>
      <c r="G575" s="561">
        <f>'SWM FGD'!$G$65</f>
        <v>3547546</v>
      </c>
      <c r="H575" s="561">
        <f>'SWM FGD'!$H$65</f>
        <v>0</v>
      </c>
      <c r="I575" s="561">
        <f>'SWM FGD'!$I$65</f>
        <v>0</v>
      </c>
      <c r="J575" s="561">
        <f>'SWM FGD'!$J$65</f>
        <v>0</v>
      </c>
      <c r="K575" s="561">
        <f>'SWM FGD'!$K$65</f>
        <v>0</v>
      </c>
      <c r="L575" s="346">
        <f>'SWM FGD'!$L$65</f>
        <v>0</v>
      </c>
      <c r="M575" s="346">
        <f>'SWM FGD'!$M$65</f>
        <v>951791832</v>
      </c>
      <c r="O575" s="306"/>
    </row>
    <row r="576" spans="1:15" ht="19.5" hidden="1" customHeight="1" outlineLevel="1">
      <c r="B576" s="392" t="str">
        <f>'TAMHSC FGD'!$B$2</f>
        <v>Texas A&amp;M University System Health Science Center</v>
      </c>
      <c r="C576" s="560"/>
      <c r="D576" s="346">
        <f>'TAMHSC FGD'!$D$65</f>
        <v>85533437</v>
      </c>
      <c r="E576" s="346">
        <f>'TAMHSC FGD'!$E$65</f>
        <v>27142893</v>
      </c>
      <c r="F576" s="346">
        <f>'TAMHSC FGD'!$F$65</f>
        <v>0</v>
      </c>
      <c r="G576" s="561">
        <f>'TAMHSC FGD'!$G$65</f>
        <v>2379161</v>
      </c>
      <c r="H576" s="561">
        <f>'TAMHSC FGD'!$H$65</f>
        <v>0</v>
      </c>
      <c r="I576" s="561">
        <f>'TAMHSC FGD'!$I$65</f>
        <v>0</v>
      </c>
      <c r="J576" s="561">
        <f>'TAMHSC FGD'!$J$65</f>
        <v>0</v>
      </c>
      <c r="K576" s="561">
        <f>'TAMHSC FGD'!$K$65</f>
        <v>0</v>
      </c>
      <c r="L576" s="346">
        <f>'TAMHSC FGD'!$L$65</f>
        <v>0</v>
      </c>
      <c r="M576" s="346">
        <f>'TAMHSC FGD'!$M$65</f>
        <v>115055491</v>
      </c>
      <c r="O576" s="306"/>
    </row>
    <row r="577" spans="1:15" ht="19.5" hidden="1" customHeight="1" outlineLevel="1">
      <c r="B577" s="392" t="str">
        <f>'THC FGD'!$B$2</f>
        <v>The University of Texas Health Science Center at Tyler</v>
      </c>
      <c r="C577" s="560"/>
      <c r="D577" s="346">
        <f>'THC FGD'!$D$65</f>
        <v>8583696</v>
      </c>
      <c r="E577" s="346">
        <f>'THC FGD'!$E$65</f>
        <v>4544795</v>
      </c>
      <c r="F577" s="346">
        <f>'THC FGD'!$F$65</f>
        <v>0</v>
      </c>
      <c r="G577" s="561">
        <f>'THC FGD'!$G$65</f>
        <v>4245019</v>
      </c>
      <c r="H577" s="561">
        <f>'THC FGD'!$H$65</f>
        <v>0</v>
      </c>
      <c r="I577" s="561">
        <f>'THC FGD'!$I$65</f>
        <v>0</v>
      </c>
      <c r="J577" s="561">
        <f>'THC FGD'!$J$65</f>
        <v>0</v>
      </c>
      <c r="K577" s="561">
        <f>'THC FGD'!$K$65</f>
        <v>0</v>
      </c>
      <c r="L577" s="346">
        <f>'THC FGD'!$L$65</f>
        <v>0</v>
      </c>
      <c r="M577" s="346">
        <f>'THC FGD'!$M$65</f>
        <v>17373510</v>
      </c>
      <c r="O577" s="306"/>
    </row>
    <row r="578" spans="1:15" ht="19.5" hidden="1" customHeight="1" outlineLevel="1">
      <c r="B578" s="392" t="str">
        <f>'TTUHSC FGD'!$B$2</f>
        <v>Texas Tech University Health Sciences Center</v>
      </c>
      <c r="C578" s="560"/>
      <c r="D578" s="346">
        <f>'TTUHSC FGD'!$D$65</f>
        <v>71592577</v>
      </c>
      <c r="E578" s="346">
        <f>'TTUHSC FGD'!$E$65</f>
        <v>74493007</v>
      </c>
      <c r="F578" s="346">
        <f>'TTUHSC FGD'!$F$65</f>
        <v>0</v>
      </c>
      <c r="G578" s="561">
        <f>'TTUHSC FGD'!$G$65</f>
        <v>56057294</v>
      </c>
      <c r="H578" s="561">
        <f>'TTUHSC FGD'!$H$65</f>
        <v>0</v>
      </c>
      <c r="I578" s="561">
        <f>'TTUHSC FGD'!$I$65</f>
        <v>0</v>
      </c>
      <c r="J578" s="561">
        <f>'TTUHSC FGD'!$J$65</f>
        <v>0</v>
      </c>
      <c r="K578" s="561">
        <f>'TTUHSC FGD'!$K$65</f>
        <v>0</v>
      </c>
      <c r="L578" s="346">
        <f>'TTUHSC FGD'!$L$65</f>
        <v>0</v>
      </c>
      <c r="M578" s="346">
        <f>'TTUHSC FGD'!$M$65</f>
        <v>202142878</v>
      </c>
      <c r="O578" s="306"/>
    </row>
    <row r="579" spans="1:15" ht="19.5" hidden="1" customHeight="1" outlineLevel="1">
      <c r="B579" s="392" t="str">
        <f>'TTUHSCEP FGD'!$B$2</f>
        <v>Texas Tech University Health Sciences Center at El Paso</v>
      </c>
      <c r="C579" s="560"/>
      <c r="D579" s="346">
        <f>'TTUHSCEP FGD'!$D$65</f>
        <v>21888775</v>
      </c>
      <c r="E579" s="346">
        <f>'TTUHSCEP FGD'!$E$65</f>
        <v>70190882</v>
      </c>
      <c r="F579" s="346">
        <f>'TTUHSCEP FGD'!$F$65</f>
        <v>0</v>
      </c>
      <c r="G579" s="561">
        <f>'TTUHSCEP FGD'!$G$65</f>
        <v>16165400</v>
      </c>
      <c r="H579" s="561">
        <f>'TTUHSCEP FGD'!$H$65</f>
        <v>0</v>
      </c>
      <c r="I579" s="561">
        <f>'TTUHSCEP FGD'!$I$65</f>
        <v>0</v>
      </c>
      <c r="J579" s="561">
        <f>'TTUHSCEP FGD'!$J$65</f>
        <v>0</v>
      </c>
      <c r="K579" s="561">
        <f>'TTUHSCEP FGD'!$K$65</f>
        <v>0</v>
      </c>
      <c r="L579" s="346">
        <f>'TTUHSCEP FGD'!$L$65</f>
        <v>0</v>
      </c>
      <c r="M579" s="346">
        <f>'TTUHSCEP FGD'!$M$65</f>
        <v>108245057</v>
      </c>
      <c r="O579" s="306"/>
    </row>
    <row r="580" spans="1:15" ht="19.5" hidden="1" customHeight="1" outlineLevel="1">
      <c r="B580" s="392" t="str">
        <f>'UNTHSC FGD'!$B$2</f>
        <v>University of North Texas Health Science Center at Fort Worth</v>
      </c>
      <c r="C580" s="560"/>
      <c r="D580" s="346">
        <f>'UNTHSC FGD'!$D$65</f>
        <v>41990643</v>
      </c>
      <c r="E580" s="346">
        <f>'UNTHSC FGD'!$E$65</f>
        <v>25660938</v>
      </c>
      <c r="F580" s="346">
        <f>'UNTHSC FGD'!$F$65</f>
        <v>0</v>
      </c>
      <c r="G580" s="561">
        <f>'UNTHSC FGD'!$G$65</f>
        <v>2876571</v>
      </c>
      <c r="H580" s="561">
        <f>'UNTHSC FGD'!$H$65</f>
        <v>7173</v>
      </c>
      <c r="I580" s="561">
        <f>'UNTHSC FGD'!$I$65</f>
        <v>0</v>
      </c>
      <c r="J580" s="561">
        <f>'UNTHSC FGD'!$J$65</f>
        <v>0</v>
      </c>
      <c r="K580" s="561">
        <f>'UNTHSC FGD'!$K$65</f>
        <v>0</v>
      </c>
      <c r="L580" s="346">
        <f>'UNTHSC FGD'!$L$65</f>
        <v>0</v>
      </c>
      <c r="M580" s="346">
        <f>'UNTHSC FGD'!$M$65</f>
        <v>70535325</v>
      </c>
      <c r="O580" s="306"/>
    </row>
    <row r="581" spans="1:15" ht="13.5" customHeight="1" collapsed="1">
      <c r="A581" s="147">
        <v>48</v>
      </c>
      <c r="B581" s="161" t="s">
        <v>14</v>
      </c>
      <c r="C581" s="161"/>
      <c r="D581" s="355">
        <f t="shared" ref="D581:M581" si="42">SUM(D569:D580)</f>
        <v>690684472</v>
      </c>
      <c r="E581" s="355">
        <f t="shared" si="42"/>
        <v>2174080505</v>
      </c>
      <c r="F581" s="355">
        <f t="shared" si="42"/>
        <v>0</v>
      </c>
      <c r="G581" s="355">
        <f t="shared" si="42"/>
        <v>134796883</v>
      </c>
      <c r="H581" s="355">
        <f t="shared" si="42"/>
        <v>7173</v>
      </c>
      <c r="I581" s="355">
        <f t="shared" si="42"/>
        <v>0</v>
      </c>
      <c r="J581" s="355">
        <f t="shared" si="42"/>
        <v>0</v>
      </c>
      <c r="K581" s="355">
        <f t="shared" si="42"/>
        <v>0</v>
      </c>
      <c r="L581" s="355">
        <f t="shared" si="42"/>
        <v>0</v>
      </c>
      <c r="M581" s="357">
        <f t="shared" si="42"/>
        <v>2999569033</v>
      </c>
      <c r="O581" s="313"/>
    </row>
    <row r="582" spans="1:15" ht="13.5" hidden="1" customHeight="1" outlineLevel="1">
      <c r="B582" s="392" t="str">
        <f>'AUSM FGD'!$B$2</f>
        <v>The University of Texas at Austin Medical School (M)</v>
      </c>
      <c r="C582" s="161"/>
      <c r="D582" s="355">
        <f>'AUSM FGD'!$D$66</f>
        <v>8186067</v>
      </c>
      <c r="E582" s="355">
        <f>'AUSM FGD'!$E$66</f>
        <v>4010262</v>
      </c>
      <c r="F582" s="355">
        <f>'AUSM FGD'!$F$66</f>
        <v>0</v>
      </c>
      <c r="G582" s="355">
        <f>'AUSM FGD'!$G$66</f>
        <v>12578324</v>
      </c>
      <c r="H582" s="355">
        <f>'AUSM FGD'!$H$66</f>
        <v>0</v>
      </c>
      <c r="I582" s="355">
        <f>'AUSM FGD'!$I$66</f>
        <v>0</v>
      </c>
      <c r="J582" s="355">
        <f>'AUSM FGD'!$J$66</f>
        <v>0</v>
      </c>
      <c r="K582" s="355">
        <f>'AUSM FGD'!$K$66</f>
        <v>0</v>
      </c>
      <c r="L582" s="355">
        <f>'AUSM FGD'!$L$66</f>
        <v>0</v>
      </c>
      <c r="M582" s="357">
        <f>'AUSM FGD'!$M$66</f>
        <v>24774653</v>
      </c>
      <c r="O582" s="313"/>
    </row>
    <row r="583" spans="1:15" ht="13.5" hidden="1" customHeight="1" outlineLevel="1">
      <c r="B583" s="392" t="str">
        <f>'HSH FGD'!$B$2</f>
        <v>The University of Texas Health Science Center at Houston</v>
      </c>
      <c r="C583" s="161"/>
      <c r="D583" s="355">
        <f>'HSH FGD'!$D$66</f>
        <v>22810709</v>
      </c>
      <c r="E583" s="355">
        <f>'HSH FGD'!$E$66</f>
        <v>22452844</v>
      </c>
      <c r="F583" s="355">
        <f>'HSH FGD'!$F$66</f>
        <v>0</v>
      </c>
      <c r="G583" s="355">
        <f>'HSH FGD'!$G$66</f>
        <v>153784999</v>
      </c>
      <c r="H583" s="355">
        <f>'HSH FGD'!$H$66</f>
        <v>0</v>
      </c>
      <c r="I583" s="355">
        <f>'HSH FGD'!$I$66</f>
        <v>0</v>
      </c>
      <c r="J583" s="355">
        <f>'HSH FGD'!$J$66</f>
        <v>0</v>
      </c>
      <c r="K583" s="355">
        <f>'HSH FGD'!$K$66</f>
        <v>0</v>
      </c>
      <c r="L583" s="355">
        <f>'HSH FGD'!$L$66</f>
        <v>0</v>
      </c>
      <c r="M583" s="357">
        <f>'HSH FGD'!$M$66</f>
        <v>199048552</v>
      </c>
      <c r="O583" s="313"/>
    </row>
    <row r="584" spans="1:15" ht="13.5" hidden="1" customHeight="1" outlineLevel="1">
      <c r="B584" s="392" t="str">
        <f>'HSSA FGD'!$B$2</f>
        <v>The University of Texas Health Science Center at San Antonio</v>
      </c>
      <c r="C584" s="161"/>
      <c r="D584" s="355">
        <f>'HSSA FGD'!$D$66</f>
        <v>12536869</v>
      </c>
      <c r="E584" s="355">
        <f>'HSSA FGD'!$E$66</f>
        <v>16340469</v>
      </c>
      <c r="F584" s="355">
        <f>'HSSA FGD'!$F$66</f>
        <v>0</v>
      </c>
      <c r="G584" s="355">
        <f>'HSSA FGD'!$G$66</f>
        <v>97684139</v>
      </c>
      <c r="H584" s="355">
        <f>'HSSA FGD'!$H$66</f>
        <v>0</v>
      </c>
      <c r="I584" s="355">
        <f>'HSSA FGD'!$I$66</f>
        <v>0</v>
      </c>
      <c r="J584" s="355">
        <f>'HSSA FGD'!$J$66</f>
        <v>0</v>
      </c>
      <c r="K584" s="355">
        <f>'HSSA FGD'!$K$66</f>
        <v>0</v>
      </c>
      <c r="L584" s="355">
        <f>'HSSA FGD'!$L$66</f>
        <v>0</v>
      </c>
      <c r="M584" s="357">
        <f>'HSSA FGD'!$M$66</f>
        <v>126561477</v>
      </c>
      <c r="O584" s="313"/>
    </row>
    <row r="585" spans="1:15" ht="13.5" hidden="1" customHeight="1" outlineLevel="1">
      <c r="B585" s="392" t="str">
        <f>'MBG FGD'!$B$2</f>
        <v>The University of Texas Medical Branch at Galveston</v>
      </c>
      <c r="C585" s="161"/>
      <c r="D585" s="355">
        <f>'MBG FGD'!$D$66</f>
        <v>641805</v>
      </c>
      <c r="E585" s="355">
        <f>'MBG FGD'!$E$66</f>
        <v>16850570</v>
      </c>
      <c r="F585" s="355">
        <f>'MBG FGD'!$F$66</f>
        <v>0</v>
      </c>
      <c r="G585" s="355">
        <f>'MBG FGD'!$G$66</f>
        <v>93143395</v>
      </c>
      <c r="H585" s="355">
        <f>'MBG FGD'!$H$66</f>
        <v>0</v>
      </c>
      <c r="I585" s="355">
        <f>'MBG FGD'!$I$66</f>
        <v>0</v>
      </c>
      <c r="J585" s="355">
        <f>'MBG FGD'!$J$66</f>
        <v>0</v>
      </c>
      <c r="K585" s="355">
        <f>'MBG FGD'!$K$66</f>
        <v>0</v>
      </c>
      <c r="L585" s="355">
        <f>'MBG FGD'!$L$66</f>
        <v>0</v>
      </c>
      <c r="M585" s="357">
        <f>'MBG FGD'!$M$66</f>
        <v>110635770</v>
      </c>
      <c r="O585" s="313"/>
    </row>
    <row r="586" spans="1:15" ht="13.5" hidden="1" customHeight="1" outlineLevel="1">
      <c r="B586" s="392" t="str">
        <f>'MDA FGD'!$B$2</f>
        <v>The University of Texas M.D. Anderson Cancer Center</v>
      </c>
      <c r="C586" s="161"/>
      <c r="D586" s="355">
        <f>'MDA FGD'!$D$66</f>
        <v>211148881</v>
      </c>
      <c r="E586" s="355">
        <f>'MDA FGD'!$E$66</f>
        <v>97251113</v>
      </c>
      <c r="F586" s="355">
        <f>'MDA FGD'!$F$66</f>
        <v>0</v>
      </c>
      <c r="G586" s="355">
        <f>'MDA FGD'!$G$66</f>
        <v>442000868</v>
      </c>
      <c r="H586" s="355">
        <f>'MDA FGD'!$H$66</f>
        <v>0</v>
      </c>
      <c r="I586" s="355">
        <f>'MDA FGD'!$I$66</f>
        <v>0</v>
      </c>
      <c r="J586" s="355">
        <f>'MDA FGD'!$J$66</f>
        <v>0</v>
      </c>
      <c r="K586" s="355">
        <f>'MDA FGD'!$K$66</f>
        <v>0</v>
      </c>
      <c r="L586" s="355">
        <f>'MDA FGD'!$L$66</f>
        <v>0</v>
      </c>
      <c r="M586" s="357">
        <f>'MDA FGD'!$M$66</f>
        <v>750400862</v>
      </c>
      <c r="O586" s="313"/>
    </row>
    <row r="587" spans="1:15" ht="13.5" hidden="1" customHeight="1" outlineLevel="1">
      <c r="B587" s="392" t="str">
        <f>'RGVM FGD'!$B$2</f>
        <v>The University of Texas Rio Grande Valley Medical School (M)</v>
      </c>
      <c r="C587" s="161"/>
      <c r="D587" s="355">
        <f>'RGVM FGD'!$D$66</f>
        <v>3557234</v>
      </c>
      <c r="E587" s="355">
        <f>'RGVM FGD'!$E$66</f>
        <v>2455033</v>
      </c>
      <c r="F587" s="355">
        <f>'RGVM FGD'!$F$66</f>
        <v>0</v>
      </c>
      <c r="G587" s="355">
        <f>'RGVM FGD'!$G$66</f>
        <v>3747084</v>
      </c>
      <c r="H587" s="355">
        <f>'RGVM FGD'!$H$66</f>
        <v>0</v>
      </c>
      <c r="I587" s="355">
        <f>'RGVM FGD'!$I$66</f>
        <v>0</v>
      </c>
      <c r="J587" s="355">
        <f>'RGVM FGD'!$J$66</f>
        <v>0</v>
      </c>
      <c r="K587" s="355">
        <f>'RGVM FGD'!$K$66</f>
        <v>0</v>
      </c>
      <c r="L587" s="355">
        <f>'RGVM FGD'!$L$66</f>
        <v>0</v>
      </c>
      <c r="M587" s="357">
        <f>'RGVM FGD'!$M$66</f>
        <v>9759351</v>
      </c>
      <c r="O587" s="313"/>
    </row>
    <row r="588" spans="1:15" ht="13.5" hidden="1" customHeight="1" outlineLevel="1">
      <c r="B588" s="392" t="str">
        <f>'SWM FGD'!$B$2</f>
        <v>The University of Texas Southwestern Medical Center</v>
      </c>
      <c r="C588" s="161"/>
      <c r="D588" s="355">
        <f>'SWM FGD'!$D$66</f>
        <v>37476367</v>
      </c>
      <c r="E588" s="355">
        <f>'SWM FGD'!$E$66</f>
        <v>29384464</v>
      </c>
      <c r="F588" s="355">
        <f>'SWM FGD'!$F$66</f>
        <v>0</v>
      </c>
      <c r="G588" s="355">
        <f>'SWM FGD'!$G$66</f>
        <v>296275876</v>
      </c>
      <c r="H588" s="355">
        <f>'SWM FGD'!$H$66</f>
        <v>0</v>
      </c>
      <c r="I588" s="355">
        <f>'SWM FGD'!$I$66</f>
        <v>0</v>
      </c>
      <c r="J588" s="355">
        <f>'SWM FGD'!$J$66</f>
        <v>0</v>
      </c>
      <c r="K588" s="355">
        <f>'SWM FGD'!$K$66</f>
        <v>0</v>
      </c>
      <c r="L588" s="355">
        <f>'SWM FGD'!$L$66</f>
        <v>0</v>
      </c>
      <c r="M588" s="357">
        <f>'SWM FGD'!$M$66</f>
        <v>363136707</v>
      </c>
      <c r="O588" s="313"/>
    </row>
    <row r="589" spans="1:15" ht="13.5" hidden="1" customHeight="1" outlineLevel="1">
      <c r="B589" s="392" t="str">
        <f>'TAMHSC FGD'!$B$2</f>
        <v>Texas A&amp;M University System Health Science Center</v>
      </c>
      <c r="C589" s="161"/>
      <c r="D589" s="355">
        <f>'TAMHSC FGD'!$D$66</f>
        <v>17161292</v>
      </c>
      <c r="E589" s="355">
        <f>'TAMHSC FGD'!$E$66</f>
        <v>11443799</v>
      </c>
      <c r="F589" s="355">
        <f>'TAMHSC FGD'!$F$66</f>
        <v>0</v>
      </c>
      <c r="G589" s="355">
        <f>'TAMHSC FGD'!$G$66</f>
        <v>41285557</v>
      </c>
      <c r="H589" s="355">
        <f>'TAMHSC FGD'!$H$66</f>
        <v>0</v>
      </c>
      <c r="I589" s="355">
        <f>'TAMHSC FGD'!$I$66</f>
        <v>0</v>
      </c>
      <c r="J589" s="355">
        <f>'TAMHSC FGD'!$J$66</f>
        <v>99266</v>
      </c>
      <c r="K589" s="355">
        <f>'TAMHSC FGD'!$K$66</f>
        <v>0</v>
      </c>
      <c r="L589" s="355">
        <f>'TAMHSC FGD'!$L$66</f>
        <v>0</v>
      </c>
      <c r="M589" s="357">
        <f>'TAMHSC FGD'!$M$66</f>
        <v>69989914</v>
      </c>
      <c r="O589" s="313"/>
    </row>
    <row r="590" spans="1:15" ht="13.5" hidden="1" customHeight="1" outlineLevel="1">
      <c r="B590" s="392" t="str">
        <f>'THC FGD'!$B$2</f>
        <v>The University of Texas Health Science Center at Tyler</v>
      </c>
      <c r="C590" s="161"/>
      <c r="D590" s="355">
        <f>'THC FGD'!$D$66</f>
        <v>4652688</v>
      </c>
      <c r="E590" s="355">
        <f>'THC FGD'!$E$66</f>
        <v>2902864</v>
      </c>
      <c r="F590" s="355">
        <f>'THC FGD'!$F$66</f>
        <v>0</v>
      </c>
      <c r="G590" s="355">
        <f>'THC FGD'!$G$66</f>
        <v>8391376</v>
      </c>
      <c r="H590" s="355">
        <f>'THC FGD'!$H$66</f>
        <v>0</v>
      </c>
      <c r="I590" s="355">
        <f>'THC FGD'!$I$66</f>
        <v>0</v>
      </c>
      <c r="J590" s="355">
        <f>'THC FGD'!$J$66</f>
        <v>0</v>
      </c>
      <c r="K590" s="355">
        <f>'THC FGD'!$K$66</f>
        <v>0</v>
      </c>
      <c r="L590" s="355">
        <f>'THC FGD'!$L$66</f>
        <v>0</v>
      </c>
      <c r="M590" s="357">
        <f>'THC FGD'!$M$66</f>
        <v>15946928</v>
      </c>
      <c r="O590" s="313"/>
    </row>
    <row r="591" spans="1:15" ht="13.5" hidden="1" customHeight="1" outlineLevel="1">
      <c r="B591" s="392" t="str">
        <f>'TTUHSC FGD'!$B$2</f>
        <v>Texas Tech University Health Sciences Center</v>
      </c>
      <c r="C591" s="161"/>
      <c r="D591" s="355">
        <f>'TTUHSC FGD'!$D$66</f>
        <v>10859143</v>
      </c>
      <c r="E591" s="355">
        <f>'TTUHSC FGD'!$E$66</f>
        <v>10376350</v>
      </c>
      <c r="F591" s="355">
        <f>'TTUHSC FGD'!$F$66</f>
        <v>0</v>
      </c>
      <c r="G591" s="355">
        <f>'TTUHSC FGD'!$G$66</f>
        <v>12701161</v>
      </c>
      <c r="H591" s="355">
        <f>'TTUHSC FGD'!$H$66</f>
        <v>0</v>
      </c>
      <c r="I591" s="355">
        <f>'TTUHSC FGD'!$I$66</f>
        <v>0</v>
      </c>
      <c r="J591" s="355">
        <f>'TTUHSC FGD'!$J$66</f>
        <v>514</v>
      </c>
      <c r="K591" s="355">
        <f>'TTUHSC FGD'!$K$66</f>
        <v>0</v>
      </c>
      <c r="L591" s="355">
        <f>'TTUHSC FGD'!$L$66</f>
        <v>0</v>
      </c>
      <c r="M591" s="357">
        <f>'TTUHSC FGD'!$M$66</f>
        <v>33937168</v>
      </c>
      <c r="O591" s="313"/>
    </row>
    <row r="592" spans="1:15" ht="13.5" hidden="1" customHeight="1" outlineLevel="1">
      <c r="B592" s="392" t="str">
        <f>'TTUHSCEP FGD'!$B$2</f>
        <v>Texas Tech University Health Sciences Center at El Paso</v>
      </c>
      <c r="C592" s="161"/>
      <c r="D592" s="355">
        <f>'TTUHSCEP FGD'!$D$66</f>
        <v>5494435</v>
      </c>
      <c r="E592" s="355">
        <f>'TTUHSCEP FGD'!$E$66</f>
        <v>2425442</v>
      </c>
      <c r="F592" s="355">
        <f>'TTUHSCEP FGD'!$F$66</f>
        <v>0</v>
      </c>
      <c r="G592" s="355">
        <f>'TTUHSCEP FGD'!$G$66</f>
        <v>3175125</v>
      </c>
      <c r="H592" s="355">
        <f>'TTUHSCEP FGD'!$H$66</f>
        <v>0</v>
      </c>
      <c r="I592" s="355">
        <f>'TTUHSCEP FGD'!$I$66</f>
        <v>0</v>
      </c>
      <c r="J592" s="355">
        <f>'TTUHSCEP FGD'!$J$66</f>
        <v>0</v>
      </c>
      <c r="K592" s="355">
        <f>'TTUHSCEP FGD'!$K$66</f>
        <v>0</v>
      </c>
      <c r="L592" s="355">
        <f>'TTUHSCEP FGD'!$L$66</f>
        <v>0</v>
      </c>
      <c r="M592" s="357">
        <f>'TTUHSCEP FGD'!$M$66</f>
        <v>11095002</v>
      </c>
      <c r="O592" s="313"/>
    </row>
    <row r="593" spans="1:15" ht="13.5" hidden="1" customHeight="1" outlineLevel="1">
      <c r="B593" s="392" t="str">
        <f>'UNTHSC FGD'!$B$2</f>
        <v>University of North Texas Health Science Center at Fort Worth</v>
      </c>
      <c r="C593" s="161"/>
      <c r="D593" s="355">
        <f>'UNTHSC FGD'!$D$66</f>
        <v>6336810</v>
      </c>
      <c r="E593" s="355">
        <f>'UNTHSC FGD'!$E$66</f>
        <v>5063320</v>
      </c>
      <c r="F593" s="355">
        <f>'UNTHSC FGD'!$F$66</f>
        <v>0</v>
      </c>
      <c r="G593" s="355">
        <f>'UNTHSC FGD'!$G$66</f>
        <v>24679889</v>
      </c>
      <c r="H593" s="355">
        <f>'UNTHSC FGD'!$H$66</f>
        <v>0</v>
      </c>
      <c r="I593" s="355">
        <f>'UNTHSC FGD'!$I$66</f>
        <v>0</v>
      </c>
      <c r="J593" s="355">
        <f>'UNTHSC FGD'!$J$66</f>
        <v>0</v>
      </c>
      <c r="K593" s="355">
        <f>'UNTHSC FGD'!$K$66</f>
        <v>0</v>
      </c>
      <c r="L593" s="355">
        <f>'UNTHSC FGD'!$L$66</f>
        <v>0</v>
      </c>
      <c r="M593" s="357">
        <f>'UNTHSC FGD'!$M$66</f>
        <v>36080019</v>
      </c>
      <c r="O593" s="313"/>
    </row>
    <row r="594" spans="1:15" collapsed="1">
      <c r="A594" s="147">
        <v>49</v>
      </c>
      <c r="B594" s="161" t="s">
        <v>15</v>
      </c>
      <c r="C594" s="161"/>
      <c r="D594" s="355">
        <f t="shared" ref="D594:M594" si="43">SUM(D582:D593)</f>
        <v>340862300</v>
      </c>
      <c r="E594" s="355">
        <f t="shared" si="43"/>
        <v>220956530</v>
      </c>
      <c r="F594" s="355">
        <f t="shared" si="43"/>
        <v>0</v>
      </c>
      <c r="G594" s="355">
        <f t="shared" si="43"/>
        <v>1189447793</v>
      </c>
      <c r="H594" s="355">
        <f t="shared" si="43"/>
        <v>0</v>
      </c>
      <c r="I594" s="355">
        <f t="shared" si="43"/>
        <v>0</v>
      </c>
      <c r="J594" s="355">
        <f t="shared" si="43"/>
        <v>99780</v>
      </c>
      <c r="K594" s="355">
        <f t="shared" si="43"/>
        <v>0</v>
      </c>
      <c r="L594" s="355">
        <f t="shared" si="43"/>
        <v>0</v>
      </c>
      <c r="M594" s="357">
        <f t="shared" si="43"/>
        <v>1751366403</v>
      </c>
      <c r="O594" s="320"/>
    </row>
    <row r="595" spans="1:15" hidden="1" outlineLevel="1">
      <c r="B595" s="392" t="str">
        <f>'AUSM FGD'!$B$2</f>
        <v>The University of Texas at Austin Medical School (M)</v>
      </c>
      <c r="C595" s="161"/>
      <c r="D595" s="355">
        <f>'AUSM FGD'!$D$67</f>
        <v>343139</v>
      </c>
      <c r="E595" s="355">
        <f>'AUSM FGD'!$E$67</f>
        <v>2535365</v>
      </c>
      <c r="F595" s="355">
        <f>'AUSM FGD'!$F$67</f>
        <v>0</v>
      </c>
      <c r="G595" s="355">
        <f>'AUSM FGD'!$G$67</f>
        <v>436689</v>
      </c>
      <c r="H595" s="355">
        <f>'AUSM FGD'!$H$67</f>
        <v>0</v>
      </c>
      <c r="I595" s="355">
        <f>'AUSM FGD'!$I$67</f>
        <v>0</v>
      </c>
      <c r="J595" s="355">
        <f>'AUSM FGD'!$J$67</f>
        <v>0</v>
      </c>
      <c r="K595" s="355">
        <f>'AUSM FGD'!$K$67</f>
        <v>0</v>
      </c>
      <c r="L595" s="355">
        <f>'AUSM FGD'!$L$67</f>
        <v>0</v>
      </c>
      <c r="M595" s="357">
        <f>'AUSM FGD'!$M$67</f>
        <v>3315193</v>
      </c>
      <c r="O595" s="320"/>
    </row>
    <row r="596" spans="1:15" hidden="1" outlineLevel="1">
      <c r="B596" s="392" t="str">
        <f>'HSH FGD'!$B$2</f>
        <v>The University of Texas Health Science Center at Houston</v>
      </c>
      <c r="C596" s="161"/>
      <c r="D596" s="355">
        <f>'HSH FGD'!$D$67</f>
        <v>506845</v>
      </c>
      <c r="E596" s="355">
        <f>'HSH FGD'!$E$67</f>
        <v>3622981</v>
      </c>
      <c r="F596" s="355">
        <f>'HSH FGD'!$F$67</f>
        <v>0</v>
      </c>
      <c r="G596" s="355">
        <f>'HSH FGD'!$G$67</f>
        <v>27305733</v>
      </c>
      <c r="H596" s="355">
        <f>'HSH FGD'!$H$67</f>
        <v>0</v>
      </c>
      <c r="I596" s="355">
        <f>'HSH FGD'!$I$67</f>
        <v>0</v>
      </c>
      <c r="J596" s="355">
        <f>'HSH FGD'!$J$67</f>
        <v>0</v>
      </c>
      <c r="K596" s="355">
        <f>'HSH FGD'!$K$67</f>
        <v>0</v>
      </c>
      <c r="L596" s="355">
        <f>'HSH FGD'!$L$67</f>
        <v>0</v>
      </c>
      <c r="M596" s="357">
        <f>'HSH FGD'!$M$67</f>
        <v>31435559</v>
      </c>
      <c r="O596" s="320"/>
    </row>
    <row r="597" spans="1:15" hidden="1" outlineLevel="1">
      <c r="B597" s="392" t="str">
        <f>'HSSA FGD'!$B$2</f>
        <v>The University of Texas Health Science Center at San Antonio</v>
      </c>
      <c r="C597" s="161"/>
      <c r="D597" s="355">
        <f>'HSSA FGD'!$D$67</f>
        <v>0</v>
      </c>
      <c r="E597" s="355">
        <f>'HSSA FGD'!$E$67</f>
        <v>4535169</v>
      </c>
      <c r="F597" s="355">
        <f>'HSSA FGD'!$F$67</f>
        <v>0</v>
      </c>
      <c r="G597" s="355">
        <f>'HSSA FGD'!$G$67</f>
        <v>24922719</v>
      </c>
      <c r="H597" s="355">
        <f>'HSSA FGD'!$H$67</f>
        <v>0</v>
      </c>
      <c r="I597" s="355">
        <f>'HSSA FGD'!$I$67</f>
        <v>0</v>
      </c>
      <c r="J597" s="355">
        <f>'HSSA FGD'!$J$67</f>
        <v>0</v>
      </c>
      <c r="K597" s="355">
        <f>'HSSA FGD'!$K$67</f>
        <v>0</v>
      </c>
      <c r="L597" s="355">
        <f>'HSSA FGD'!$L$67</f>
        <v>0</v>
      </c>
      <c r="M597" s="357">
        <f>'HSSA FGD'!$M$67</f>
        <v>29457888</v>
      </c>
      <c r="O597" s="320"/>
    </row>
    <row r="598" spans="1:15" hidden="1" outlineLevel="1">
      <c r="B598" s="392" t="str">
        <f>'MBG FGD'!$B$2</f>
        <v>The University of Texas Medical Branch at Galveston</v>
      </c>
      <c r="C598" s="161"/>
      <c r="D598" s="355">
        <f>'MBG FGD'!$D$67</f>
        <v>1859209</v>
      </c>
      <c r="E598" s="355">
        <f>'MBG FGD'!$E$67</f>
        <v>3028303</v>
      </c>
      <c r="F598" s="355">
        <f>'MBG FGD'!$F$67</f>
        <v>0</v>
      </c>
      <c r="G598" s="355">
        <f>'MBG FGD'!$G$67</f>
        <v>13307813</v>
      </c>
      <c r="H598" s="355">
        <f>'MBG FGD'!$H$67</f>
        <v>0</v>
      </c>
      <c r="I598" s="355">
        <f>'MBG FGD'!$I$67</f>
        <v>0</v>
      </c>
      <c r="J598" s="355">
        <f>'MBG FGD'!$J$67</f>
        <v>0</v>
      </c>
      <c r="K598" s="355">
        <f>'MBG FGD'!$K$67</f>
        <v>0</v>
      </c>
      <c r="L598" s="355">
        <f>'MBG FGD'!$L$67</f>
        <v>0</v>
      </c>
      <c r="M598" s="357">
        <f>'MBG FGD'!$M$67</f>
        <v>18195325</v>
      </c>
      <c r="O598" s="320"/>
    </row>
    <row r="599" spans="1:15" hidden="1" outlineLevel="1">
      <c r="B599" s="392" t="str">
        <f>'MDA FGD'!$B$2</f>
        <v>The University of Texas M.D. Anderson Cancer Center</v>
      </c>
      <c r="C599" s="161"/>
      <c r="D599" s="355">
        <f>'MDA FGD'!$D$67</f>
        <v>1976968</v>
      </c>
      <c r="E599" s="355">
        <f>'MDA FGD'!$E$67</f>
        <v>7008584</v>
      </c>
      <c r="F599" s="355">
        <f>'MDA FGD'!$F$67</f>
        <v>0</v>
      </c>
      <c r="G599" s="355">
        <f>'MDA FGD'!$G$67</f>
        <v>6565260</v>
      </c>
      <c r="H599" s="355">
        <f>'MDA FGD'!$H$67</f>
        <v>0</v>
      </c>
      <c r="I599" s="355">
        <f>'MDA FGD'!$I$67</f>
        <v>0</v>
      </c>
      <c r="J599" s="355">
        <f>'MDA FGD'!$J$67</f>
        <v>0</v>
      </c>
      <c r="K599" s="355">
        <f>'MDA FGD'!$K$67</f>
        <v>0</v>
      </c>
      <c r="L599" s="355">
        <f>'MDA FGD'!$L$67</f>
        <v>0</v>
      </c>
      <c r="M599" s="357">
        <f>'MDA FGD'!$M$67</f>
        <v>15550812</v>
      </c>
      <c r="O599" s="320"/>
    </row>
    <row r="600" spans="1:15" hidden="1" outlineLevel="1">
      <c r="B600" s="392" t="str">
        <f>'RGVM FGD'!$B$2</f>
        <v>The University of Texas Rio Grande Valley Medical School (M)</v>
      </c>
      <c r="C600" s="161"/>
      <c r="D600" s="355">
        <f>'RGVM FGD'!$D$67</f>
        <v>207203</v>
      </c>
      <c r="E600" s="355">
        <f>'RGVM FGD'!$E$67</f>
        <v>5354</v>
      </c>
      <c r="F600" s="355">
        <f>'RGVM FGD'!$F$67</f>
        <v>0</v>
      </c>
      <c r="G600" s="355">
        <f>'RGVM FGD'!$G$67</f>
        <v>2570467</v>
      </c>
      <c r="H600" s="355">
        <f>'RGVM FGD'!$H$67</f>
        <v>0</v>
      </c>
      <c r="I600" s="355">
        <f>'RGVM FGD'!$I$67</f>
        <v>0</v>
      </c>
      <c r="J600" s="355">
        <f>'RGVM FGD'!$J$67</f>
        <v>0</v>
      </c>
      <c r="K600" s="355">
        <f>'RGVM FGD'!$K$67</f>
        <v>0</v>
      </c>
      <c r="L600" s="355">
        <f>'RGVM FGD'!$L$67</f>
        <v>0</v>
      </c>
      <c r="M600" s="357">
        <f>'RGVM FGD'!$M$67</f>
        <v>2783024</v>
      </c>
      <c r="O600" s="320"/>
    </row>
    <row r="601" spans="1:15" hidden="1" outlineLevel="1">
      <c r="B601" s="392" t="str">
        <f>'SWM FGD'!$B$2</f>
        <v>The University of Texas Southwestern Medical Center</v>
      </c>
      <c r="C601" s="161"/>
      <c r="D601" s="355">
        <f>'SWM FGD'!$D$67</f>
        <v>835239</v>
      </c>
      <c r="E601" s="355">
        <f>'SWM FGD'!$E$67</f>
        <v>27402580</v>
      </c>
      <c r="F601" s="355">
        <f>'SWM FGD'!$F$67</f>
        <v>0</v>
      </c>
      <c r="G601" s="355">
        <f>'SWM FGD'!$G$67</f>
        <v>2957038</v>
      </c>
      <c r="H601" s="355">
        <f>'SWM FGD'!$H$67</f>
        <v>0</v>
      </c>
      <c r="I601" s="355">
        <f>'SWM FGD'!$I$67</f>
        <v>0</v>
      </c>
      <c r="J601" s="355">
        <f>'SWM FGD'!$J$67</f>
        <v>0</v>
      </c>
      <c r="K601" s="355">
        <f>'SWM FGD'!$K$67</f>
        <v>0</v>
      </c>
      <c r="L601" s="355">
        <f>'SWM FGD'!$L$67</f>
        <v>0</v>
      </c>
      <c r="M601" s="357">
        <f>'SWM FGD'!$M$67</f>
        <v>31194857</v>
      </c>
      <c r="O601" s="320"/>
    </row>
    <row r="602" spans="1:15" hidden="1" outlineLevel="1">
      <c r="B602" s="392" t="str">
        <f>'TAMHSC FGD'!$B$2</f>
        <v>Texas A&amp;M University System Health Science Center</v>
      </c>
      <c r="C602" s="161"/>
      <c r="D602" s="355">
        <f>'TAMHSC FGD'!$D$67</f>
        <v>3632489</v>
      </c>
      <c r="E602" s="355">
        <f>'TAMHSC FGD'!$E$67</f>
        <v>5553130</v>
      </c>
      <c r="F602" s="355">
        <f>'TAMHSC FGD'!$F$67</f>
        <v>0</v>
      </c>
      <c r="G602" s="355">
        <f>'TAMHSC FGD'!$G$67</f>
        <v>2121794</v>
      </c>
      <c r="H602" s="355">
        <f>'TAMHSC FGD'!$H$67</f>
        <v>0</v>
      </c>
      <c r="I602" s="355">
        <f>'TAMHSC FGD'!$I$67</f>
        <v>0</v>
      </c>
      <c r="J602" s="355">
        <f>'TAMHSC FGD'!$J$67</f>
        <v>0</v>
      </c>
      <c r="K602" s="355">
        <f>'TAMHSC FGD'!$K$67</f>
        <v>0</v>
      </c>
      <c r="L602" s="355">
        <f>'TAMHSC FGD'!$L$67</f>
        <v>0</v>
      </c>
      <c r="M602" s="357">
        <f>'TAMHSC FGD'!$M$67</f>
        <v>11307413</v>
      </c>
      <c r="O602" s="320"/>
    </row>
    <row r="603" spans="1:15" hidden="1" outlineLevel="1">
      <c r="B603" s="392" t="str">
        <f>'THC FGD'!$B$2</f>
        <v>The University of Texas Health Science Center at Tyler</v>
      </c>
      <c r="C603" s="161"/>
      <c r="D603" s="355">
        <f>'THC FGD'!$D$67</f>
        <v>0</v>
      </c>
      <c r="E603" s="355">
        <f>'THC FGD'!$E$67</f>
        <v>0</v>
      </c>
      <c r="F603" s="355">
        <f>'THC FGD'!$F$67</f>
        <v>0</v>
      </c>
      <c r="G603" s="355">
        <f>'THC FGD'!$G$67</f>
        <v>0</v>
      </c>
      <c r="H603" s="355">
        <f>'THC FGD'!$H$67</f>
        <v>0</v>
      </c>
      <c r="I603" s="355">
        <f>'THC FGD'!$I$67</f>
        <v>0</v>
      </c>
      <c r="J603" s="355">
        <f>'THC FGD'!$J$67</f>
        <v>0</v>
      </c>
      <c r="K603" s="355">
        <f>'THC FGD'!$K$67</f>
        <v>0</v>
      </c>
      <c r="L603" s="355">
        <f>'THC FGD'!$L$67</f>
        <v>0</v>
      </c>
      <c r="M603" s="357">
        <f>'THC FGD'!$M$67</f>
        <v>0</v>
      </c>
      <c r="O603" s="320"/>
    </row>
    <row r="604" spans="1:15" hidden="1" outlineLevel="1">
      <c r="B604" s="392" t="str">
        <f>'TTUHSC FGD'!$B$2</f>
        <v>Texas Tech University Health Sciences Center</v>
      </c>
      <c r="C604" s="161"/>
      <c r="D604" s="355">
        <f>'TTUHSC FGD'!$D$67</f>
        <v>4409679</v>
      </c>
      <c r="E604" s="355">
        <f>'TTUHSC FGD'!$E$67</f>
        <v>2726864</v>
      </c>
      <c r="F604" s="355">
        <f>'TTUHSC FGD'!$F$67</f>
        <v>0</v>
      </c>
      <c r="G604" s="355">
        <f>'TTUHSC FGD'!$G$67</f>
        <v>124880453</v>
      </c>
      <c r="H604" s="355">
        <f>'TTUHSC FGD'!$H$67</f>
        <v>0</v>
      </c>
      <c r="I604" s="355">
        <f>'TTUHSC FGD'!$I$67</f>
        <v>0</v>
      </c>
      <c r="J604" s="355">
        <f>'TTUHSC FGD'!$J$67</f>
        <v>28675</v>
      </c>
      <c r="K604" s="355">
        <f>'TTUHSC FGD'!$K$67</f>
        <v>0</v>
      </c>
      <c r="L604" s="355">
        <f>'TTUHSC FGD'!$L$67</f>
        <v>0</v>
      </c>
      <c r="M604" s="357">
        <f>'TTUHSC FGD'!$M$67</f>
        <v>132045671</v>
      </c>
      <c r="O604" s="320"/>
    </row>
    <row r="605" spans="1:15" hidden="1" outlineLevel="1">
      <c r="B605" s="392" t="str">
        <f>'TTUHSCEP FGD'!$B$2</f>
        <v>Texas Tech University Health Sciences Center at El Paso</v>
      </c>
      <c r="C605" s="161"/>
      <c r="D605" s="355">
        <f>'TTUHSCEP FGD'!$D$67</f>
        <v>131535</v>
      </c>
      <c r="E605" s="355">
        <f>'TTUHSCEP FGD'!$E$67</f>
        <v>420133</v>
      </c>
      <c r="F605" s="355">
        <f>'TTUHSCEP FGD'!$F$67</f>
        <v>0</v>
      </c>
      <c r="G605" s="355">
        <f>'TTUHSCEP FGD'!$G$67</f>
        <v>2269039</v>
      </c>
      <c r="H605" s="355">
        <f>'TTUHSCEP FGD'!$H$67</f>
        <v>0</v>
      </c>
      <c r="I605" s="355">
        <f>'TTUHSCEP FGD'!$I$67</f>
        <v>0</v>
      </c>
      <c r="J605" s="355">
        <f>'TTUHSCEP FGD'!$J$67</f>
        <v>0</v>
      </c>
      <c r="K605" s="355">
        <f>'TTUHSCEP FGD'!$K$67</f>
        <v>0</v>
      </c>
      <c r="L605" s="355">
        <f>'TTUHSCEP FGD'!$L$67</f>
        <v>0</v>
      </c>
      <c r="M605" s="357">
        <f>'TTUHSCEP FGD'!$M$67</f>
        <v>2820707</v>
      </c>
      <c r="O605" s="320"/>
    </row>
    <row r="606" spans="1:15" hidden="1" outlineLevel="1">
      <c r="B606" s="392" t="str">
        <f>'UNTHSC FGD'!$B$2</f>
        <v>University of North Texas Health Science Center at Fort Worth</v>
      </c>
      <c r="C606" s="161"/>
      <c r="D606" s="355">
        <f>'UNTHSC FGD'!$D$67</f>
        <v>7438751</v>
      </c>
      <c r="E606" s="355">
        <f>'UNTHSC FGD'!$E$67</f>
        <v>28182448</v>
      </c>
      <c r="F606" s="355">
        <f>'UNTHSC FGD'!$F$67</f>
        <v>0</v>
      </c>
      <c r="G606" s="355">
        <f>'UNTHSC FGD'!$G$67</f>
        <v>9561739</v>
      </c>
      <c r="H606" s="355">
        <f>'UNTHSC FGD'!$H$67</f>
        <v>0</v>
      </c>
      <c r="I606" s="355">
        <f>'UNTHSC FGD'!$I$67</f>
        <v>0</v>
      </c>
      <c r="J606" s="355">
        <f>'UNTHSC FGD'!$J$67</f>
        <v>0</v>
      </c>
      <c r="K606" s="355">
        <f>'UNTHSC FGD'!$K$67</f>
        <v>0</v>
      </c>
      <c r="L606" s="355">
        <f>'UNTHSC FGD'!$L$67</f>
        <v>0</v>
      </c>
      <c r="M606" s="357">
        <f>'UNTHSC FGD'!$M$67</f>
        <v>45182938</v>
      </c>
      <c r="O606" s="320"/>
    </row>
    <row r="607" spans="1:15" collapsed="1">
      <c r="A607" s="147">
        <v>50</v>
      </c>
      <c r="B607" s="161" t="s">
        <v>16</v>
      </c>
      <c r="C607" s="161"/>
      <c r="D607" s="355">
        <f t="shared" ref="D607:M607" si="44">SUM(D595:D606)</f>
        <v>21341057</v>
      </c>
      <c r="E607" s="355">
        <f t="shared" si="44"/>
        <v>85020911</v>
      </c>
      <c r="F607" s="355">
        <f t="shared" si="44"/>
        <v>0</v>
      </c>
      <c r="G607" s="355">
        <f t="shared" si="44"/>
        <v>216898744</v>
      </c>
      <c r="H607" s="355">
        <f t="shared" si="44"/>
        <v>0</v>
      </c>
      <c r="I607" s="355">
        <f t="shared" si="44"/>
        <v>0</v>
      </c>
      <c r="J607" s="355">
        <f t="shared" si="44"/>
        <v>28675</v>
      </c>
      <c r="K607" s="355">
        <f t="shared" si="44"/>
        <v>0</v>
      </c>
      <c r="L607" s="355">
        <f t="shared" si="44"/>
        <v>0</v>
      </c>
      <c r="M607" s="357">
        <f t="shared" si="44"/>
        <v>323289387</v>
      </c>
      <c r="O607" s="320"/>
    </row>
    <row r="608" spans="1:15" hidden="1" outlineLevel="1">
      <c r="B608" s="392" t="str">
        <f>'AUSM FGD'!$B$2</f>
        <v>The University of Texas at Austin Medical School (M)</v>
      </c>
      <c r="C608" s="161"/>
      <c r="D608" s="355">
        <f>'AUSM FGD'!$D$68</f>
        <v>3093544</v>
      </c>
      <c r="E608" s="355">
        <f>'AUSM FGD'!$E$68</f>
        <v>13801682</v>
      </c>
      <c r="F608" s="355">
        <f>'AUSM FGD'!$F$68</f>
        <v>0</v>
      </c>
      <c r="G608" s="355">
        <f>'AUSM FGD'!$G$68</f>
        <v>1844817</v>
      </c>
      <c r="H608" s="355">
        <f>'AUSM FGD'!$H$68</f>
        <v>0</v>
      </c>
      <c r="I608" s="355">
        <f>'AUSM FGD'!$I$68</f>
        <v>0</v>
      </c>
      <c r="J608" s="355">
        <f>'AUSM FGD'!$J$68</f>
        <v>0</v>
      </c>
      <c r="K608" s="355">
        <f>'AUSM FGD'!$K$68</f>
        <v>0</v>
      </c>
      <c r="L608" s="355">
        <f>'AUSM FGD'!$L$68</f>
        <v>0</v>
      </c>
      <c r="M608" s="357">
        <f>'AUSM FGD'!$M$68</f>
        <v>18740043</v>
      </c>
      <c r="O608" s="320"/>
    </row>
    <row r="609" spans="1:15" hidden="1" outlineLevel="1">
      <c r="B609" s="392" t="str">
        <f>'HSH FGD'!$B$2</f>
        <v>The University of Texas Health Science Center at Houston</v>
      </c>
      <c r="C609" s="161"/>
      <c r="D609" s="355">
        <f>'HSH FGD'!$D$68</f>
        <v>56301982</v>
      </c>
      <c r="E609" s="355">
        <f>'HSH FGD'!$E$68</f>
        <v>374263970</v>
      </c>
      <c r="F609" s="355">
        <f>'HSH FGD'!$F$68</f>
        <v>0</v>
      </c>
      <c r="G609" s="355">
        <f>'HSH FGD'!$G$68</f>
        <v>72450</v>
      </c>
      <c r="H609" s="355">
        <f>'HSH FGD'!$H$68</f>
        <v>0</v>
      </c>
      <c r="I609" s="355">
        <f>'HSH FGD'!$I$68</f>
        <v>0</v>
      </c>
      <c r="J609" s="355">
        <f>'HSH FGD'!$J$68</f>
        <v>0</v>
      </c>
      <c r="K609" s="355">
        <f>'HSH FGD'!$K$68</f>
        <v>0</v>
      </c>
      <c r="L609" s="355">
        <f>'HSH FGD'!$L$68</f>
        <v>0</v>
      </c>
      <c r="M609" s="357">
        <f>'HSH FGD'!$M$68</f>
        <v>430638402</v>
      </c>
      <c r="O609" s="320"/>
    </row>
    <row r="610" spans="1:15" hidden="1" outlineLevel="1">
      <c r="B610" s="392" t="str">
        <f>'HSSA FGD'!$B$2</f>
        <v>The University of Texas Health Science Center at San Antonio</v>
      </c>
      <c r="C610" s="161"/>
      <c r="D610" s="355">
        <f>'HSSA FGD'!$D$68</f>
        <v>0</v>
      </c>
      <c r="E610" s="355">
        <f>'HSSA FGD'!$E$68</f>
        <v>131027053</v>
      </c>
      <c r="F610" s="355">
        <f>'HSSA FGD'!$F$68</f>
        <v>0</v>
      </c>
      <c r="G610" s="355">
        <f>'HSSA FGD'!$G$68</f>
        <v>85173</v>
      </c>
      <c r="H610" s="355">
        <f>'HSSA FGD'!$H$68</f>
        <v>0</v>
      </c>
      <c r="I610" s="355">
        <f>'HSSA FGD'!$I$68</f>
        <v>0</v>
      </c>
      <c r="J610" s="355">
        <f>'HSSA FGD'!$J$68</f>
        <v>0</v>
      </c>
      <c r="K610" s="355">
        <f>'HSSA FGD'!$K$68</f>
        <v>0</v>
      </c>
      <c r="L610" s="355">
        <f>'HSSA FGD'!$L$68</f>
        <v>0</v>
      </c>
      <c r="M610" s="357">
        <f>'HSSA FGD'!$M$68</f>
        <v>131112226</v>
      </c>
      <c r="O610" s="320"/>
    </row>
    <row r="611" spans="1:15" hidden="1" outlineLevel="1">
      <c r="B611" s="392" t="str">
        <f>'MBG FGD'!$B$2</f>
        <v>The University of Texas Medical Branch at Galveston</v>
      </c>
      <c r="C611" s="161"/>
      <c r="D611" s="355">
        <f>'MBG FGD'!$D$68</f>
        <v>643659271</v>
      </c>
      <c r="E611" s="355">
        <f>'MBG FGD'!$E$68</f>
        <v>625199320</v>
      </c>
      <c r="F611" s="355">
        <f>'MBG FGD'!$F$68</f>
        <v>0</v>
      </c>
      <c r="G611" s="355">
        <f>'MBG FGD'!$G$68</f>
        <v>21138824</v>
      </c>
      <c r="H611" s="355">
        <f>'MBG FGD'!$H$68</f>
        <v>0</v>
      </c>
      <c r="I611" s="355">
        <f>'MBG FGD'!$I$68</f>
        <v>0</v>
      </c>
      <c r="J611" s="355">
        <f>'MBG FGD'!$J$68</f>
        <v>0</v>
      </c>
      <c r="K611" s="355">
        <f>'MBG FGD'!$K$68</f>
        <v>0</v>
      </c>
      <c r="L611" s="355">
        <f>'MBG FGD'!$L$68</f>
        <v>0</v>
      </c>
      <c r="M611" s="357">
        <f>'MBG FGD'!$M$68</f>
        <v>1289997415</v>
      </c>
      <c r="O611" s="320"/>
    </row>
    <row r="612" spans="1:15" hidden="1" outlineLevel="1">
      <c r="B612" s="392" t="str">
        <f>'MDA FGD'!$B$2</f>
        <v>The University of Texas M.D. Anderson Cancer Center</v>
      </c>
      <c r="C612" s="161"/>
      <c r="D612" s="355">
        <f>'MDA FGD'!$D$68</f>
        <v>2188785674</v>
      </c>
      <c r="E612" s="355">
        <f>'MDA FGD'!$E$68</f>
        <v>530760215</v>
      </c>
      <c r="F612" s="355">
        <f>'MDA FGD'!$F$68</f>
        <v>0</v>
      </c>
      <c r="G612" s="355">
        <f>'MDA FGD'!$G$68</f>
        <v>3578998</v>
      </c>
      <c r="H612" s="355">
        <f>'MDA FGD'!$H$68</f>
        <v>0</v>
      </c>
      <c r="I612" s="355">
        <f>'MDA FGD'!$I$68</f>
        <v>0</v>
      </c>
      <c r="J612" s="355">
        <f>'MDA FGD'!$J$68</f>
        <v>0</v>
      </c>
      <c r="K612" s="355">
        <f>'MDA FGD'!$K$68</f>
        <v>0</v>
      </c>
      <c r="L612" s="355">
        <f>'MDA FGD'!$L$68</f>
        <v>0</v>
      </c>
      <c r="M612" s="357">
        <f>'MDA FGD'!$M$68</f>
        <v>2723124887</v>
      </c>
      <c r="O612" s="320"/>
    </row>
    <row r="613" spans="1:15" hidden="1" outlineLevel="1">
      <c r="B613" s="392" t="str">
        <f>'RGVM FGD'!$B$2</f>
        <v>The University of Texas Rio Grande Valley Medical School (M)</v>
      </c>
      <c r="C613" s="161"/>
      <c r="D613" s="355">
        <f>'RGVM FGD'!$D$68</f>
        <v>1263068</v>
      </c>
      <c r="E613" s="355">
        <f>'RGVM FGD'!$E$68</f>
        <v>24233914</v>
      </c>
      <c r="F613" s="355">
        <f>'RGVM FGD'!$F$68</f>
        <v>0</v>
      </c>
      <c r="G613" s="355">
        <f>'RGVM FGD'!$G$68</f>
        <v>832275</v>
      </c>
      <c r="H613" s="355">
        <f>'RGVM FGD'!$H$68</f>
        <v>0</v>
      </c>
      <c r="I613" s="355">
        <f>'RGVM FGD'!$I$68</f>
        <v>0</v>
      </c>
      <c r="J613" s="355">
        <f>'RGVM FGD'!$J$68</f>
        <v>0</v>
      </c>
      <c r="K613" s="355">
        <f>'RGVM FGD'!$K$68</f>
        <v>0</v>
      </c>
      <c r="L613" s="355">
        <f>'RGVM FGD'!$L$68</f>
        <v>0</v>
      </c>
      <c r="M613" s="357">
        <f>'RGVM FGD'!$M$68</f>
        <v>26329257</v>
      </c>
      <c r="O613" s="320"/>
    </row>
    <row r="614" spans="1:15" hidden="1" outlineLevel="1">
      <c r="B614" s="392" t="str">
        <f>'SWM FGD'!$B$2</f>
        <v>The University of Texas Southwestern Medical Center</v>
      </c>
      <c r="C614" s="161"/>
      <c r="D614" s="355">
        <f>'SWM FGD'!$D$68</f>
        <v>0</v>
      </c>
      <c r="E614" s="355">
        <f>'SWM FGD'!$E$68</f>
        <v>1210555336</v>
      </c>
      <c r="F614" s="355">
        <f>'SWM FGD'!$F$68</f>
        <v>0</v>
      </c>
      <c r="G614" s="355">
        <f>'SWM FGD'!$G$68</f>
        <v>112380</v>
      </c>
      <c r="H614" s="355">
        <f>'SWM FGD'!$H$68</f>
        <v>0</v>
      </c>
      <c r="I614" s="355">
        <f>'SWM FGD'!$I$68</f>
        <v>0</v>
      </c>
      <c r="J614" s="355">
        <f>'SWM FGD'!$J$68</f>
        <v>0</v>
      </c>
      <c r="K614" s="355">
        <f>'SWM FGD'!$K$68</f>
        <v>0</v>
      </c>
      <c r="L614" s="355">
        <f>'SWM FGD'!$L$68</f>
        <v>0</v>
      </c>
      <c r="M614" s="357">
        <f>'SWM FGD'!$M$68</f>
        <v>1210667716</v>
      </c>
      <c r="O614" s="320"/>
    </row>
    <row r="615" spans="1:15" hidden="1" outlineLevel="1">
      <c r="B615" s="392" t="str">
        <f>'TAMHSC FGD'!$B$2</f>
        <v>Texas A&amp;M University System Health Science Center</v>
      </c>
      <c r="C615" s="161"/>
      <c r="D615" s="355">
        <f>'TAMHSC FGD'!$D$68</f>
        <v>0</v>
      </c>
      <c r="E615" s="355">
        <f>'TAMHSC FGD'!$E$68</f>
        <v>0</v>
      </c>
      <c r="F615" s="355">
        <f>'TAMHSC FGD'!$F$68</f>
        <v>0</v>
      </c>
      <c r="G615" s="355">
        <f>'TAMHSC FGD'!$G$68</f>
        <v>0</v>
      </c>
      <c r="H615" s="355">
        <f>'TAMHSC FGD'!$H$68</f>
        <v>0</v>
      </c>
      <c r="I615" s="355">
        <f>'TAMHSC FGD'!$I$68</f>
        <v>0</v>
      </c>
      <c r="J615" s="355">
        <f>'TAMHSC FGD'!$J$68</f>
        <v>0</v>
      </c>
      <c r="K615" s="355">
        <f>'TAMHSC FGD'!$K$68</f>
        <v>0</v>
      </c>
      <c r="L615" s="355">
        <f>'TAMHSC FGD'!$L$68</f>
        <v>0</v>
      </c>
      <c r="M615" s="357">
        <f>'TAMHSC FGD'!$M$68</f>
        <v>0</v>
      </c>
      <c r="O615" s="320"/>
    </row>
    <row r="616" spans="1:15" hidden="1" outlineLevel="1">
      <c r="B616" s="392" t="str">
        <f>'THC FGD'!$B$2</f>
        <v>The University of Texas Health Science Center at Tyler</v>
      </c>
      <c r="C616" s="161"/>
      <c r="D616" s="355">
        <f>'THC FGD'!$D$68</f>
        <v>115951468</v>
      </c>
      <c r="E616" s="355">
        <f>'THC FGD'!$E$68</f>
        <v>29102036</v>
      </c>
      <c r="F616" s="355">
        <f>'THC FGD'!$F$68</f>
        <v>0</v>
      </c>
      <c r="G616" s="355">
        <f>'THC FGD'!$G$68</f>
        <v>1778853</v>
      </c>
      <c r="H616" s="355">
        <f>'THC FGD'!$H$68</f>
        <v>0</v>
      </c>
      <c r="I616" s="355">
        <f>'THC FGD'!$I$68</f>
        <v>0</v>
      </c>
      <c r="J616" s="355">
        <f>'THC FGD'!$J$68</f>
        <v>0</v>
      </c>
      <c r="K616" s="355">
        <f>'THC FGD'!$K$68</f>
        <v>0</v>
      </c>
      <c r="L616" s="355">
        <f>'THC FGD'!$L$68</f>
        <v>0</v>
      </c>
      <c r="M616" s="357">
        <f>'THC FGD'!$M$68</f>
        <v>146832357</v>
      </c>
      <c r="O616" s="320"/>
    </row>
    <row r="617" spans="1:15" hidden="1" outlineLevel="1">
      <c r="B617" s="392" t="str">
        <f>'TTUHSC FGD'!$B$2</f>
        <v>Texas Tech University Health Sciences Center</v>
      </c>
      <c r="C617" s="161"/>
      <c r="D617" s="355">
        <f>'TTUHSC FGD'!$D$68</f>
        <v>1243940</v>
      </c>
      <c r="E617" s="355">
        <f>'TTUHSC FGD'!$E$68</f>
        <v>65804291</v>
      </c>
      <c r="F617" s="355">
        <f>'TTUHSC FGD'!$F$68</f>
        <v>0</v>
      </c>
      <c r="G617" s="355">
        <f>'TTUHSC FGD'!$G$68</f>
        <v>11260066</v>
      </c>
      <c r="H617" s="355">
        <f>'TTUHSC FGD'!$H$68</f>
        <v>0</v>
      </c>
      <c r="I617" s="355">
        <f>'TTUHSC FGD'!$I$68</f>
        <v>0</v>
      </c>
      <c r="J617" s="355">
        <f>'TTUHSC FGD'!$J$68</f>
        <v>0</v>
      </c>
      <c r="K617" s="355">
        <f>'TTUHSC FGD'!$K$68</f>
        <v>0</v>
      </c>
      <c r="L617" s="355">
        <f>'TTUHSC FGD'!$L$68</f>
        <v>0</v>
      </c>
      <c r="M617" s="357">
        <f>'TTUHSC FGD'!$M$68</f>
        <v>78308297</v>
      </c>
      <c r="O617" s="320"/>
    </row>
    <row r="618" spans="1:15" hidden="1" outlineLevel="1">
      <c r="B618" s="392" t="str">
        <f>'TTUHSCEP FGD'!$B$2</f>
        <v>Texas Tech University Health Sciences Center at El Paso</v>
      </c>
      <c r="C618" s="161"/>
      <c r="D618" s="355">
        <f>'TTUHSCEP FGD'!$D$68</f>
        <v>1069737</v>
      </c>
      <c r="E618" s="355">
        <f>'TTUHSCEP FGD'!$E$68</f>
        <v>18995207</v>
      </c>
      <c r="F618" s="355">
        <f>'TTUHSCEP FGD'!$F$68</f>
        <v>0</v>
      </c>
      <c r="G618" s="355">
        <f>'TTUHSCEP FGD'!$G$68</f>
        <v>306069</v>
      </c>
      <c r="H618" s="355">
        <f>'TTUHSCEP FGD'!$H$68</f>
        <v>0</v>
      </c>
      <c r="I618" s="355">
        <f>'TTUHSCEP FGD'!$I$68</f>
        <v>0</v>
      </c>
      <c r="J618" s="355">
        <f>'TTUHSCEP FGD'!$J$68</f>
        <v>0</v>
      </c>
      <c r="K618" s="355">
        <f>'TTUHSCEP FGD'!$K$68</f>
        <v>0</v>
      </c>
      <c r="L618" s="355">
        <f>'TTUHSCEP FGD'!$L$68</f>
        <v>0</v>
      </c>
      <c r="M618" s="357">
        <f>'TTUHSCEP FGD'!$M$68</f>
        <v>20371013</v>
      </c>
      <c r="O618" s="320"/>
    </row>
    <row r="619" spans="1:15" hidden="1" outlineLevel="1">
      <c r="B619" s="392" t="str">
        <f>'UNTHSC FGD'!$B$2</f>
        <v>University of North Texas Health Science Center at Fort Worth</v>
      </c>
      <c r="C619" s="161"/>
      <c r="D619" s="355">
        <f>'UNTHSC FGD'!$D$68</f>
        <v>0</v>
      </c>
      <c r="E619" s="355">
        <f>'UNTHSC FGD'!$E$68</f>
        <v>0</v>
      </c>
      <c r="F619" s="355">
        <f>'UNTHSC FGD'!$F$68</f>
        <v>0</v>
      </c>
      <c r="G619" s="355">
        <f>'UNTHSC FGD'!$G$68</f>
        <v>0</v>
      </c>
      <c r="H619" s="355">
        <f>'UNTHSC FGD'!$H$68</f>
        <v>0</v>
      </c>
      <c r="I619" s="355">
        <f>'UNTHSC FGD'!$I$68</f>
        <v>0</v>
      </c>
      <c r="J619" s="355">
        <f>'UNTHSC FGD'!$J$68</f>
        <v>0</v>
      </c>
      <c r="K619" s="355">
        <f>'UNTHSC FGD'!$K$68</f>
        <v>0</v>
      </c>
      <c r="L619" s="355">
        <f>'UNTHSC FGD'!$L$68</f>
        <v>0</v>
      </c>
      <c r="M619" s="357">
        <f>'UNTHSC FGD'!$M$68</f>
        <v>0</v>
      </c>
      <c r="O619" s="320"/>
    </row>
    <row r="620" spans="1:15" collapsed="1">
      <c r="A620" s="147">
        <v>51</v>
      </c>
      <c r="B620" s="161" t="s">
        <v>55</v>
      </c>
      <c r="C620" s="161"/>
      <c r="D620" s="355">
        <f t="shared" ref="D620:M620" si="45">SUM(D608:D619)</f>
        <v>3011368684</v>
      </c>
      <c r="E620" s="355">
        <f t="shared" si="45"/>
        <v>3023743024</v>
      </c>
      <c r="F620" s="355">
        <f t="shared" si="45"/>
        <v>0</v>
      </c>
      <c r="G620" s="355">
        <f t="shared" si="45"/>
        <v>41009905</v>
      </c>
      <c r="H620" s="355">
        <f t="shared" si="45"/>
        <v>0</v>
      </c>
      <c r="I620" s="355">
        <f t="shared" si="45"/>
        <v>0</v>
      </c>
      <c r="J620" s="355">
        <f t="shared" si="45"/>
        <v>0</v>
      </c>
      <c r="K620" s="355">
        <f t="shared" si="45"/>
        <v>0</v>
      </c>
      <c r="L620" s="355">
        <f t="shared" si="45"/>
        <v>0</v>
      </c>
      <c r="M620" s="357">
        <f t="shared" si="45"/>
        <v>6076121613</v>
      </c>
      <c r="O620" s="320"/>
    </row>
    <row r="621" spans="1:15" hidden="1" outlineLevel="1">
      <c r="B621" s="392" t="str">
        <f>'AUSM FGD'!$B$2</f>
        <v>The University of Texas at Austin Medical School (M)</v>
      </c>
      <c r="C621" s="161"/>
      <c r="D621" s="355">
        <f>'AUSM FGD'!$D$69</f>
        <v>6413956</v>
      </c>
      <c r="E621" s="355">
        <f>'AUSM FGD'!$E$69</f>
        <v>27252922</v>
      </c>
      <c r="F621" s="355">
        <f>'AUSM FGD'!$F$69</f>
        <v>0</v>
      </c>
      <c r="G621" s="355">
        <f>'AUSM FGD'!$G$69</f>
        <v>2909984</v>
      </c>
      <c r="H621" s="355">
        <f>'AUSM FGD'!$H$69</f>
        <v>0</v>
      </c>
      <c r="I621" s="355">
        <f>'AUSM FGD'!$I$69</f>
        <v>0</v>
      </c>
      <c r="J621" s="355">
        <f>'AUSM FGD'!$J$69</f>
        <v>0</v>
      </c>
      <c r="K621" s="355">
        <f>'AUSM FGD'!$K$69</f>
        <v>0</v>
      </c>
      <c r="L621" s="355">
        <f>'AUSM FGD'!$L$69</f>
        <v>0</v>
      </c>
      <c r="M621" s="357">
        <f>'AUSM FGD'!$M$69</f>
        <v>36576862</v>
      </c>
      <c r="O621" s="320"/>
    </row>
    <row r="622" spans="1:15" hidden="1" outlineLevel="1">
      <c r="B622" s="392" t="str">
        <f>'HSH FGD'!$B$2</f>
        <v>The University of Texas Health Science Center at Houston</v>
      </c>
      <c r="C622" s="161"/>
      <c r="D622" s="355">
        <f>'HSH FGD'!$D$69</f>
        <v>27480374</v>
      </c>
      <c r="E622" s="355">
        <f>'HSH FGD'!$E$69</f>
        <v>24986850</v>
      </c>
      <c r="F622" s="355">
        <f>'HSH FGD'!$F$69</f>
        <v>0</v>
      </c>
      <c r="G622" s="355">
        <f>'HSH FGD'!$G$69</f>
        <v>2873669</v>
      </c>
      <c r="H622" s="355">
        <f>'HSH FGD'!$H$69</f>
        <v>0</v>
      </c>
      <c r="I622" s="355">
        <f>'HSH FGD'!$I$69</f>
        <v>0</v>
      </c>
      <c r="J622" s="355">
        <f>'HSH FGD'!$J$69</f>
        <v>0</v>
      </c>
      <c r="K622" s="355">
        <f>'HSH FGD'!$K$69</f>
        <v>0</v>
      </c>
      <c r="L622" s="355">
        <f>'HSH FGD'!$L$69</f>
        <v>0</v>
      </c>
      <c r="M622" s="357">
        <f>'HSH FGD'!$M$69</f>
        <v>55340893</v>
      </c>
      <c r="O622" s="320"/>
    </row>
    <row r="623" spans="1:15" hidden="1" outlineLevel="1">
      <c r="B623" s="392" t="str">
        <f>'HSSA FGD'!$B$2</f>
        <v>The University of Texas Health Science Center at San Antonio</v>
      </c>
      <c r="C623" s="161"/>
      <c r="D623" s="355">
        <f>'HSSA FGD'!$D$69</f>
        <v>33118712</v>
      </c>
      <c r="E623" s="355">
        <f>'HSSA FGD'!$E$69</f>
        <v>9438478</v>
      </c>
      <c r="F623" s="355">
        <f>'HSSA FGD'!$F$69</f>
        <v>0</v>
      </c>
      <c r="G623" s="355">
        <f>'HSSA FGD'!$G$69</f>
        <v>702938</v>
      </c>
      <c r="H623" s="355">
        <f>'HSSA FGD'!$H$69</f>
        <v>0</v>
      </c>
      <c r="I623" s="355">
        <f>'HSSA FGD'!$I$69</f>
        <v>0</v>
      </c>
      <c r="J623" s="355">
        <f>'HSSA FGD'!$J$69</f>
        <v>0</v>
      </c>
      <c r="K623" s="355">
        <f>'HSSA FGD'!$K$69</f>
        <v>0</v>
      </c>
      <c r="L623" s="355">
        <f>'HSSA FGD'!$L$69</f>
        <v>0</v>
      </c>
      <c r="M623" s="357">
        <f>'HSSA FGD'!$M$69</f>
        <v>43260128</v>
      </c>
      <c r="O623" s="320"/>
    </row>
    <row r="624" spans="1:15" hidden="1" outlineLevel="1">
      <c r="B624" s="392" t="str">
        <f>'MBG FGD'!$B$2</f>
        <v>The University of Texas Medical Branch at Galveston</v>
      </c>
      <c r="C624" s="161"/>
      <c r="D624" s="355">
        <f>'MBG FGD'!$D$69</f>
        <v>18681497</v>
      </c>
      <c r="E624" s="355">
        <f>'MBG FGD'!$E$69</f>
        <v>15456785</v>
      </c>
      <c r="F624" s="355">
        <f>'MBG FGD'!$F$69</f>
        <v>0</v>
      </c>
      <c r="G624" s="355">
        <f>'MBG FGD'!$G$69</f>
        <v>1121481</v>
      </c>
      <c r="H624" s="355">
        <f>'MBG FGD'!$H$69</f>
        <v>0</v>
      </c>
      <c r="I624" s="355">
        <f>'MBG FGD'!$I$69</f>
        <v>0</v>
      </c>
      <c r="J624" s="355">
        <f>'MBG FGD'!$J$69</f>
        <v>0</v>
      </c>
      <c r="K624" s="355">
        <f>'MBG FGD'!$K$69</f>
        <v>0</v>
      </c>
      <c r="L624" s="355">
        <f>'MBG FGD'!$L$69</f>
        <v>0</v>
      </c>
      <c r="M624" s="357">
        <f>'MBG FGD'!$M$69</f>
        <v>35259763</v>
      </c>
      <c r="O624" s="320"/>
    </row>
    <row r="625" spans="1:15" hidden="1" outlineLevel="1">
      <c r="B625" s="392" t="str">
        <f>'MDA FGD'!$B$2</f>
        <v>The University of Texas M.D. Anderson Cancer Center</v>
      </c>
      <c r="C625" s="161"/>
      <c r="D625" s="355">
        <f>'MDA FGD'!$D$69</f>
        <v>137738530</v>
      </c>
      <c r="E625" s="355">
        <f>'MDA FGD'!$E$69</f>
        <v>2591222</v>
      </c>
      <c r="F625" s="355">
        <f>'MDA FGD'!$F$69</f>
        <v>0</v>
      </c>
      <c r="G625" s="355">
        <f>'MDA FGD'!$G$69</f>
        <v>917942</v>
      </c>
      <c r="H625" s="355">
        <f>'MDA FGD'!$H$69</f>
        <v>0</v>
      </c>
      <c r="I625" s="355">
        <f>'MDA FGD'!$I$69</f>
        <v>0</v>
      </c>
      <c r="J625" s="355">
        <f>'MDA FGD'!$J$69</f>
        <v>0</v>
      </c>
      <c r="K625" s="355">
        <f>'MDA FGD'!$K$69</f>
        <v>0</v>
      </c>
      <c r="L625" s="355">
        <f>'MDA FGD'!$L$69</f>
        <v>0</v>
      </c>
      <c r="M625" s="357">
        <f>'MDA FGD'!$M$69</f>
        <v>141247694</v>
      </c>
      <c r="O625" s="320"/>
    </row>
    <row r="626" spans="1:15" hidden="1" outlineLevel="1">
      <c r="B626" s="392" t="str">
        <f>'RGVM FGD'!$B$2</f>
        <v>The University of Texas Rio Grande Valley Medical School (M)</v>
      </c>
      <c r="C626" s="161"/>
      <c r="D626" s="355">
        <f>'RGVM FGD'!$D$69</f>
        <v>9097296</v>
      </c>
      <c r="E626" s="355">
        <f>'RGVM FGD'!$E$69</f>
        <v>548724</v>
      </c>
      <c r="F626" s="355">
        <f>'RGVM FGD'!$F$69</f>
        <v>0</v>
      </c>
      <c r="G626" s="355">
        <f>'RGVM FGD'!$G$69</f>
        <v>383440</v>
      </c>
      <c r="H626" s="355">
        <f>'RGVM FGD'!$H$69</f>
        <v>0</v>
      </c>
      <c r="I626" s="355">
        <f>'RGVM FGD'!$I$69</f>
        <v>0</v>
      </c>
      <c r="J626" s="355">
        <f>'RGVM FGD'!$J$69</f>
        <v>0</v>
      </c>
      <c r="K626" s="355">
        <f>'RGVM FGD'!$K$69</f>
        <v>0</v>
      </c>
      <c r="L626" s="355">
        <f>'RGVM FGD'!$L$69</f>
        <v>0</v>
      </c>
      <c r="M626" s="357">
        <f>'RGVM FGD'!$M$69</f>
        <v>10029460</v>
      </c>
      <c r="O626" s="320"/>
    </row>
    <row r="627" spans="1:15" hidden="1" outlineLevel="1">
      <c r="B627" s="392" t="str">
        <f>'SWM FGD'!$B$2</f>
        <v>The University of Texas Southwestern Medical Center</v>
      </c>
      <c r="C627" s="161"/>
      <c r="D627" s="355">
        <f>'SWM FGD'!$D$69</f>
        <v>7728190</v>
      </c>
      <c r="E627" s="355">
        <f>'SWM FGD'!$E$69</f>
        <v>13465018</v>
      </c>
      <c r="F627" s="355">
        <f>'SWM FGD'!$F$69</f>
        <v>0</v>
      </c>
      <c r="G627" s="355">
        <f>'SWM FGD'!$G$69</f>
        <v>2673663</v>
      </c>
      <c r="H627" s="355">
        <f>'SWM FGD'!$H$69</f>
        <v>0</v>
      </c>
      <c r="I627" s="355">
        <f>'SWM FGD'!$I$69</f>
        <v>0</v>
      </c>
      <c r="J627" s="355">
        <f>'SWM FGD'!$J$69</f>
        <v>0</v>
      </c>
      <c r="K627" s="355">
        <f>'SWM FGD'!$K$69</f>
        <v>0</v>
      </c>
      <c r="L627" s="355">
        <f>'SWM FGD'!$L$69</f>
        <v>0</v>
      </c>
      <c r="M627" s="357">
        <f>'SWM FGD'!$M$69</f>
        <v>23866871</v>
      </c>
      <c r="O627" s="320"/>
    </row>
    <row r="628" spans="1:15" hidden="1" outlineLevel="1">
      <c r="B628" s="392" t="str">
        <f>'TAMHSC FGD'!$B$2</f>
        <v>Texas A&amp;M University System Health Science Center</v>
      </c>
      <c r="C628" s="161"/>
      <c r="D628" s="355">
        <f>'TAMHSC FGD'!$D$69</f>
        <v>26053140</v>
      </c>
      <c r="E628" s="355">
        <f>'TAMHSC FGD'!$E$69</f>
        <v>6701475</v>
      </c>
      <c r="F628" s="355">
        <f>'TAMHSC FGD'!$F$69</f>
        <v>0</v>
      </c>
      <c r="G628" s="355">
        <f>'TAMHSC FGD'!$G$69</f>
        <v>367794</v>
      </c>
      <c r="H628" s="355">
        <f>'TAMHSC FGD'!$H$69</f>
        <v>0</v>
      </c>
      <c r="I628" s="355">
        <f>'TAMHSC FGD'!$I$69</f>
        <v>0</v>
      </c>
      <c r="J628" s="355">
        <f>'TAMHSC FGD'!$J$69</f>
        <v>0</v>
      </c>
      <c r="K628" s="355">
        <f>'TAMHSC FGD'!$K$69</f>
        <v>0</v>
      </c>
      <c r="L628" s="355">
        <f>'TAMHSC FGD'!$L$69</f>
        <v>0</v>
      </c>
      <c r="M628" s="357">
        <f>'TAMHSC FGD'!$M$69</f>
        <v>33122409</v>
      </c>
      <c r="O628" s="320"/>
    </row>
    <row r="629" spans="1:15" hidden="1" outlineLevel="1">
      <c r="B629" s="392" t="str">
        <f>'THC FGD'!$B$2</f>
        <v>The University of Texas Health Science Center at Tyler</v>
      </c>
      <c r="C629" s="161"/>
      <c r="D629" s="355">
        <f>'THC FGD'!$D$69</f>
        <v>1326228</v>
      </c>
      <c r="E629" s="355">
        <f>'THC FGD'!$E$69</f>
        <v>10467</v>
      </c>
      <c r="F629" s="355">
        <f>'THC FGD'!$F$69</f>
        <v>0</v>
      </c>
      <c r="G629" s="355">
        <f>'THC FGD'!$G$69</f>
        <v>52641</v>
      </c>
      <c r="H629" s="355">
        <f>'THC FGD'!$H$69</f>
        <v>0</v>
      </c>
      <c r="I629" s="355">
        <f>'THC FGD'!$I$69</f>
        <v>0</v>
      </c>
      <c r="J629" s="355">
        <f>'THC FGD'!$J$69</f>
        <v>0</v>
      </c>
      <c r="K629" s="355">
        <f>'THC FGD'!$K$69</f>
        <v>0</v>
      </c>
      <c r="L629" s="355">
        <f>'THC FGD'!$L$69</f>
        <v>0</v>
      </c>
      <c r="M629" s="357">
        <f>'THC FGD'!$M$69</f>
        <v>1389336</v>
      </c>
      <c r="O629" s="320"/>
    </row>
    <row r="630" spans="1:15" hidden="1" outlineLevel="1">
      <c r="B630" s="392" t="str">
        <f>'TTUHSC FGD'!$B$2</f>
        <v>Texas Tech University Health Sciences Center</v>
      </c>
      <c r="C630" s="161"/>
      <c r="D630" s="355">
        <f>'TTUHSC FGD'!$D$69</f>
        <v>44987957</v>
      </c>
      <c r="E630" s="355">
        <f>'TTUHSC FGD'!$E$69</f>
        <v>66943437</v>
      </c>
      <c r="F630" s="355">
        <f>'TTUHSC FGD'!$F$69</f>
        <v>0</v>
      </c>
      <c r="G630" s="355">
        <f>'TTUHSC FGD'!$G$69</f>
        <v>3231524</v>
      </c>
      <c r="H630" s="355">
        <f>'TTUHSC FGD'!$H$69</f>
        <v>0</v>
      </c>
      <c r="I630" s="355">
        <f>'TTUHSC FGD'!$I$69</f>
        <v>0</v>
      </c>
      <c r="J630" s="355">
        <f>'TTUHSC FGD'!$J$69</f>
        <v>3650524</v>
      </c>
      <c r="K630" s="355">
        <f>'TTUHSC FGD'!$K$69</f>
        <v>0</v>
      </c>
      <c r="L630" s="355">
        <f>'TTUHSC FGD'!$L$69</f>
        <v>0</v>
      </c>
      <c r="M630" s="357">
        <f>'TTUHSC FGD'!$M$69</f>
        <v>118813442</v>
      </c>
      <c r="O630" s="320"/>
    </row>
    <row r="631" spans="1:15" hidden="1" outlineLevel="1">
      <c r="B631" s="392" t="str">
        <f>'TTUHSCEP FGD'!$B$2</f>
        <v>Texas Tech University Health Sciences Center at El Paso</v>
      </c>
      <c r="C631" s="161"/>
      <c r="D631" s="355">
        <f>'TTUHSCEP FGD'!$D$69</f>
        <v>18303100</v>
      </c>
      <c r="E631" s="355">
        <f>'TTUHSCEP FGD'!$E$69</f>
        <v>29936748</v>
      </c>
      <c r="F631" s="355">
        <f>'TTUHSCEP FGD'!$F$69</f>
        <v>0</v>
      </c>
      <c r="G631" s="355">
        <f>'TTUHSCEP FGD'!$G$69</f>
        <v>1560569</v>
      </c>
      <c r="H631" s="355">
        <f>'TTUHSCEP FGD'!$H$69</f>
        <v>0</v>
      </c>
      <c r="I631" s="355">
        <f>'TTUHSCEP FGD'!$I$69</f>
        <v>0</v>
      </c>
      <c r="J631" s="355">
        <f>'TTUHSCEP FGD'!$J$69</f>
        <v>0</v>
      </c>
      <c r="K631" s="355">
        <f>'TTUHSCEP FGD'!$K$69</f>
        <v>0</v>
      </c>
      <c r="L631" s="355">
        <f>'TTUHSCEP FGD'!$L$69</f>
        <v>0</v>
      </c>
      <c r="M631" s="357">
        <f>'TTUHSCEP FGD'!$M$69</f>
        <v>49800417</v>
      </c>
      <c r="O631" s="320"/>
    </row>
    <row r="632" spans="1:15" hidden="1" outlineLevel="1">
      <c r="B632" s="392" t="str">
        <f>'UNTHSC FGD'!$B$2</f>
        <v>University of North Texas Health Science Center at Fort Worth</v>
      </c>
      <c r="C632" s="161"/>
      <c r="D632" s="355">
        <f>'UNTHSC FGD'!$D$69</f>
        <v>13712926</v>
      </c>
      <c r="E632" s="355">
        <f>'UNTHSC FGD'!$E$69</f>
        <v>5177972</v>
      </c>
      <c r="F632" s="355">
        <f>'UNTHSC FGD'!$F$69</f>
        <v>0</v>
      </c>
      <c r="G632" s="355">
        <f>'UNTHSC FGD'!$G$69</f>
        <v>309752</v>
      </c>
      <c r="H632" s="355">
        <f>'UNTHSC FGD'!$H$69</f>
        <v>0</v>
      </c>
      <c r="I632" s="355">
        <f>'UNTHSC FGD'!$I$69</f>
        <v>0</v>
      </c>
      <c r="J632" s="355">
        <f>'UNTHSC FGD'!$J$69</f>
        <v>0</v>
      </c>
      <c r="K632" s="355">
        <f>'UNTHSC FGD'!$K$69</f>
        <v>0</v>
      </c>
      <c r="L632" s="355">
        <f>'UNTHSC FGD'!$L$69</f>
        <v>0</v>
      </c>
      <c r="M632" s="357">
        <f>'UNTHSC FGD'!$M$69</f>
        <v>19200650</v>
      </c>
      <c r="O632" s="320"/>
    </row>
    <row r="633" spans="1:15" collapsed="1">
      <c r="A633" s="147">
        <v>52</v>
      </c>
      <c r="B633" s="161" t="s">
        <v>17</v>
      </c>
      <c r="C633" s="161"/>
      <c r="D633" s="355">
        <f t="shared" ref="D633:M633" si="46">SUM(D621:D632)</f>
        <v>344641906</v>
      </c>
      <c r="E633" s="355">
        <f t="shared" si="46"/>
        <v>202510098</v>
      </c>
      <c r="F633" s="355">
        <f t="shared" si="46"/>
        <v>0</v>
      </c>
      <c r="G633" s="355">
        <f t="shared" si="46"/>
        <v>17105397</v>
      </c>
      <c r="H633" s="355">
        <f t="shared" si="46"/>
        <v>0</v>
      </c>
      <c r="I633" s="355">
        <f t="shared" si="46"/>
        <v>0</v>
      </c>
      <c r="J633" s="355">
        <f t="shared" si="46"/>
        <v>3650524</v>
      </c>
      <c r="K633" s="355">
        <f t="shared" si="46"/>
        <v>0</v>
      </c>
      <c r="L633" s="355">
        <f t="shared" si="46"/>
        <v>0</v>
      </c>
      <c r="M633" s="357">
        <f t="shared" si="46"/>
        <v>567907925</v>
      </c>
      <c r="O633" s="320"/>
    </row>
    <row r="634" spans="1:15" hidden="1" outlineLevel="1">
      <c r="B634" s="392" t="str">
        <f>'AUSM FGD'!$B$2</f>
        <v>The University of Texas at Austin Medical School (M)</v>
      </c>
      <c r="C634" s="161"/>
      <c r="D634" s="355">
        <f>'AUSM FGD'!$D$70</f>
        <v>0</v>
      </c>
      <c r="E634" s="355">
        <f>'AUSM FGD'!$E$70</f>
        <v>0</v>
      </c>
      <c r="F634" s="355">
        <f>'AUSM FGD'!$F$70</f>
        <v>0</v>
      </c>
      <c r="G634" s="355">
        <f>'AUSM FGD'!$G$70</f>
        <v>0</v>
      </c>
      <c r="H634" s="355">
        <f>'AUSM FGD'!$H$70</f>
        <v>0</v>
      </c>
      <c r="I634" s="355">
        <f>'AUSM FGD'!$I$70</f>
        <v>0</v>
      </c>
      <c r="J634" s="355">
        <f>'AUSM FGD'!$J$70</f>
        <v>0</v>
      </c>
      <c r="K634" s="355">
        <f>'AUSM FGD'!$K$70</f>
        <v>0</v>
      </c>
      <c r="L634" s="355">
        <f>'AUSM FGD'!$L$70</f>
        <v>0</v>
      </c>
      <c r="M634" s="357">
        <f>'AUSM FGD'!$M$70</f>
        <v>0</v>
      </c>
      <c r="O634" s="320"/>
    </row>
    <row r="635" spans="1:15" hidden="1" outlineLevel="1">
      <c r="B635" s="392" t="str">
        <f>'HSH FGD'!$B$2</f>
        <v>The University of Texas Health Science Center at Houston</v>
      </c>
      <c r="C635" s="161"/>
      <c r="D635" s="355">
        <f>'HSH FGD'!$D$70</f>
        <v>2378205</v>
      </c>
      <c r="E635" s="355">
        <f>'HSH FGD'!$E$70</f>
        <v>5297903</v>
      </c>
      <c r="F635" s="355">
        <f>'HSH FGD'!$F$70</f>
        <v>0</v>
      </c>
      <c r="G635" s="355">
        <f>'HSH FGD'!$G$70</f>
        <v>1401737</v>
      </c>
      <c r="H635" s="355">
        <f>'HSH FGD'!$H$70</f>
        <v>72465</v>
      </c>
      <c r="I635" s="355">
        <f>'HSH FGD'!$I$70</f>
        <v>0</v>
      </c>
      <c r="J635" s="355">
        <f>'HSH FGD'!$J$70</f>
        <v>0</v>
      </c>
      <c r="K635" s="355">
        <f>'HSH FGD'!$K$70</f>
        <v>0</v>
      </c>
      <c r="L635" s="355">
        <f>'HSH FGD'!$L$70</f>
        <v>0</v>
      </c>
      <c r="M635" s="357">
        <f>'HSH FGD'!$M$70</f>
        <v>9150310</v>
      </c>
      <c r="O635" s="320"/>
    </row>
    <row r="636" spans="1:15" hidden="1" outlineLevel="1">
      <c r="B636" s="392" t="str">
        <f>'HSSA FGD'!$B$2</f>
        <v>The University of Texas Health Science Center at San Antonio</v>
      </c>
      <c r="C636" s="161"/>
      <c r="D636" s="355">
        <f>'HSSA FGD'!$D$70</f>
        <v>1797771</v>
      </c>
      <c r="E636" s="355">
        <f>'HSSA FGD'!$E$70</f>
        <v>252955</v>
      </c>
      <c r="F636" s="355">
        <f>'HSSA FGD'!$F$70</f>
        <v>0</v>
      </c>
      <c r="G636" s="355">
        <f>'HSSA FGD'!$G$70</f>
        <v>2547</v>
      </c>
      <c r="H636" s="355">
        <f>'HSSA FGD'!$H$70</f>
        <v>65623</v>
      </c>
      <c r="I636" s="355">
        <f>'HSSA FGD'!$I$70</f>
        <v>0</v>
      </c>
      <c r="J636" s="355">
        <f>'HSSA FGD'!$J$70</f>
        <v>0</v>
      </c>
      <c r="K636" s="355">
        <f>'HSSA FGD'!$K$70</f>
        <v>0</v>
      </c>
      <c r="L636" s="355">
        <f>'HSSA FGD'!$L$70</f>
        <v>0</v>
      </c>
      <c r="M636" s="357">
        <f>'HSSA FGD'!$M$70</f>
        <v>2118896</v>
      </c>
      <c r="O636" s="320"/>
    </row>
    <row r="637" spans="1:15" hidden="1" outlineLevel="1">
      <c r="B637" s="392" t="str">
        <f>'MBG FGD'!$B$2</f>
        <v>The University of Texas Medical Branch at Galveston</v>
      </c>
      <c r="C637" s="161"/>
      <c r="D637" s="355">
        <f>'MBG FGD'!$D$70</f>
        <v>4366417</v>
      </c>
      <c r="E637" s="355">
        <f>'MBG FGD'!$E$70</f>
        <v>2015003</v>
      </c>
      <c r="F637" s="355">
        <f>'MBG FGD'!$F$70</f>
        <v>0</v>
      </c>
      <c r="G637" s="355">
        <f>'MBG FGD'!$G$70</f>
        <v>335063</v>
      </c>
      <c r="H637" s="355">
        <f>'MBG FGD'!$H$70</f>
        <v>2000</v>
      </c>
      <c r="I637" s="355">
        <f>'MBG FGD'!$I$70</f>
        <v>0</v>
      </c>
      <c r="J637" s="355">
        <f>'MBG FGD'!$J$70</f>
        <v>0</v>
      </c>
      <c r="K637" s="355">
        <f>'MBG FGD'!$K$70</f>
        <v>0</v>
      </c>
      <c r="L637" s="355">
        <f>'MBG FGD'!$L$70</f>
        <v>0</v>
      </c>
      <c r="M637" s="357">
        <f>'MBG FGD'!$M$70</f>
        <v>6718483</v>
      </c>
      <c r="O637" s="320"/>
    </row>
    <row r="638" spans="1:15" hidden="1" outlineLevel="1">
      <c r="B638" s="392" t="str">
        <f>'MDA FGD'!$B$2</f>
        <v>The University of Texas M.D. Anderson Cancer Center</v>
      </c>
      <c r="C638" s="161"/>
      <c r="D638" s="355">
        <f>'MDA FGD'!$D$70</f>
        <v>271580</v>
      </c>
      <c r="E638" s="355">
        <f>'MDA FGD'!$E$70</f>
        <v>0</v>
      </c>
      <c r="F638" s="355">
        <f>'MDA FGD'!$F$70</f>
        <v>0</v>
      </c>
      <c r="G638" s="355">
        <f>'MDA FGD'!$G$70</f>
        <v>0</v>
      </c>
      <c r="H638" s="355">
        <f>'MDA FGD'!$H$70</f>
        <v>0</v>
      </c>
      <c r="I638" s="355">
        <f>'MDA FGD'!$I$70</f>
        <v>0</v>
      </c>
      <c r="J638" s="355">
        <f>'MDA FGD'!$J$70</f>
        <v>0</v>
      </c>
      <c r="K638" s="355">
        <f>'MDA FGD'!$K$70</f>
        <v>0</v>
      </c>
      <c r="L638" s="355">
        <f>'MDA FGD'!$L$70</f>
        <v>0</v>
      </c>
      <c r="M638" s="357">
        <f>'MDA FGD'!$M$70</f>
        <v>271580</v>
      </c>
      <c r="O638" s="320"/>
    </row>
    <row r="639" spans="1:15" hidden="1" outlineLevel="1">
      <c r="B639" s="392" t="str">
        <f>'RGVM FGD'!$B$2</f>
        <v>The University of Texas Rio Grande Valley Medical School (M)</v>
      </c>
      <c r="C639" s="161"/>
      <c r="D639" s="355">
        <f>'RGVM FGD'!$D$70</f>
        <v>941975</v>
      </c>
      <c r="E639" s="355">
        <f>'RGVM FGD'!$E$70</f>
        <v>220371</v>
      </c>
      <c r="F639" s="355">
        <f>'RGVM FGD'!$F$70</f>
        <v>0</v>
      </c>
      <c r="G639" s="355">
        <f>'RGVM FGD'!$G$70</f>
        <v>911918</v>
      </c>
      <c r="H639" s="355">
        <f>'RGVM FGD'!$H$70</f>
        <v>0</v>
      </c>
      <c r="I639" s="355">
        <f>'RGVM FGD'!$I$70</f>
        <v>0</v>
      </c>
      <c r="J639" s="355">
        <f>'RGVM FGD'!$J$70</f>
        <v>0</v>
      </c>
      <c r="K639" s="355">
        <f>'RGVM FGD'!$K$70</f>
        <v>0</v>
      </c>
      <c r="L639" s="355">
        <f>'RGVM FGD'!$L$70</f>
        <v>0</v>
      </c>
      <c r="M639" s="357">
        <f>'RGVM FGD'!$M$70</f>
        <v>2074264</v>
      </c>
      <c r="O639" s="320"/>
    </row>
    <row r="640" spans="1:15" hidden="1" outlineLevel="1">
      <c r="B640" s="392" t="str">
        <f>'SWM FGD'!$B$2</f>
        <v>The University of Texas Southwestern Medical Center</v>
      </c>
      <c r="C640" s="161"/>
      <c r="D640" s="355">
        <f>'SWM FGD'!$D$70</f>
        <v>2656989</v>
      </c>
      <c r="E640" s="355">
        <f>'SWM FGD'!$E$70</f>
        <v>1303963</v>
      </c>
      <c r="F640" s="355">
        <f>'SWM FGD'!$F$70</f>
        <v>0</v>
      </c>
      <c r="G640" s="355">
        <f>'SWM FGD'!$G$70</f>
        <v>91181</v>
      </c>
      <c r="H640" s="355">
        <f>'SWM FGD'!$H$70</f>
        <v>-47711</v>
      </c>
      <c r="I640" s="355">
        <f>'SWM FGD'!$I$70</f>
        <v>0</v>
      </c>
      <c r="J640" s="355">
        <f>'SWM FGD'!$J$70</f>
        <v>0</v>
      </c>
      <c r="K640" s="355">
        <f>'SWM FGD'!$K$70</f>
        <v>0</v>
      </c>
      <c r="L640" s="355">
        <f>'SWM FGD'!$L$70</f>
        <v>0</v>
      </c>
      <c r="M640" s="357">
        <f>'SWM FGD'!$M$70</f>
        <v>4004422</v>
      </c>
      <c r="O640" s="320"/>
    </row>
    <row r="641" spans="1:15" hidden="1" outlineLevel="1">
      <c r="B641" s="392" t="str">
        <f>'TAMHSC FGD'!$B$2</f>
        <v>Texas A&amp;M University System Health Science Center</v>
      </c>
      <c r="C641" s="161"/>
      <c r="D641" s="355">
        <f>'TAMHSC FGD'!$D$70</f>
        <v>3126621</v>
      </c>
      <c r="E641" s="355">
        <f>'TAMHSC FGD'!$E$70</f>
        <v>2242142</v>
      </c>
      <c r="F641" s="355">
        <f>'TAMHSC FGD'!$F$70</f>
        <v>0</v>
      </c>
      <c r="G641" s="355">
        <f>'TAMHSC FGD'!$G$70</f>
        <v>70881</v>
      </c>
      <c r="H641" s="355">
        <f>'TAMHSC FGD'!$H$70</f>
        <v>-471</v>
      </c>
      <c r="I641" s="355">
        <f>'TAMHSC FGD'!$I$70</f>
        <v>0</v>
      </c>
      <c r="J641" s="355">
        <f>'TAMHSC FGD'!$J$70</f>
        <v>0</v>
      </c>
      <c r="K641" s="355">
        <f>'TAMHSC FGD'!$K$70</f>
        <v>0</v>
      </c>
      <c r="L641" s="355">
        <f>'TAMHSC FGD'!$L$70</f>
        <v>0</v>
      </c>
      <c r="M641" s="357">
        <f>'TAMHSC FGD'!$M$70</f>
        <v>5439173</v>
      </c>
      <c r="O641" s="320"/>
    </row>
    <row r="642" spans="1:15" hidden="1" outlineLevel="1">
      <c r="B642" s="392" t="str">
        <f>'THC FGD'!$B$2</f>
        <v>The University of Texas Health Science Center at Tyler</v>
      </c>
      <c r="C642" s="161"/>
      <c r="D642" s="355">
        <f>'THC FGD'!$D$70</f>
        <v>0</v>
      </c>
      <c r="E642" s="355">
        <f>'THC FGD'!$E$70</f>
        <v>0</v>
      </c>
      <c r="F642" s="355">
        <f>'THC FGD'!$F$70</f>
        <v>0</v>
      </c>
      <c r="G642" s="355">
        <f>'THC FGD'!$G$70</f>
        <v>0</v>
      </c>
      <c r="H642" s="355">
        <f>'THC FGD'!$H$70</f>
        <v>0</v>
      </c>
      <c r="I642" s="355">
        <f>'THC FGD'!$I$70</f>
        <v>0</v>
      </c>
      <c r="J642" s="355">
        <f>'THC FGD'!$J$70</f>
        <v>0</v>
      </c>
      <c r="K642" s="355">
        <f>'THC FGD'!$K$70</f>
        <v>0</v>
      </c>
      <c r="L642" s="355">
        <f>'THC FGD'!$L$70</f>
        <v>0</v>
      </c>
      <c r="M642" s="357">
        <f>'THC FGD'!$M$70</f>
        <v>0</v>
      </c>
      <c r="O642" s="320"/>
    </row>
    <row r="643" spans="1:15" hidden="1" outlineLevel="1">
      <c r="B643" s="392" t="str">
        <f>'TTUHSC FGD'!$B$2</f>
        <v>Texas Tech University Health Sciences Center</v>
      </c>
      <c r="C643" s="161"/>
      <c r="D643" s="355">
        <f>'TTUHSC FGD'!$D$70</f>
        <v>1619340</v>
      </c>
      <c r="E643" s="355">
        <f>'TTUHSC FGD'!$E$70</f>
        <v>13413782</v>
      </c>
      <c r="F643" s="355">
        <f>'TTUHSC FGD'!$F$70</f>
        <v>0</v>
      </c>
      <c r="G643" s="355">
        <f>'TTUHSC FGD'!$G$70</f>
        <v>3633</v>
      </c>
      <c r="H643" s="355">
        <f>'TTUHSC FGD'!$H$70</f>
        <v>145080</v>
      </c>
      <c r="I643" s="355">
        <f>'TTUHSC FGD'!$I$70</f>
        <v>0</v>
      </c>
      <c r="J643" s="355">
        <f>'TTUHSC FGD'!$J$70</f>
        <v>0</v>
      </c>
      <c r="K643" s="355">
        <f>'TTUHSC FGD'!$K$70</f>
        <v>0</v>
      </c>
      <c r="L643" s="355">
        <f>'TTUHSC FGD'!$L$70</f>
        <v>0</v>
      </c>
      <c r="M643" s="357">
        <f>'TTUHSC FGD'!$M$70</f>
        <v>15181835</v>
      </c>
      <c r="O643" s="320"/>
    </row>
    <row r="644" spans="1:15" hidden="1" outlineLevel="1">
      <c r="B644" s="392" t="str">
        <f>'TTUHSCEP FGD'!$B$2</f>
        <v>Texas Tech University Health Sciences Center at El Paso</v>
      </c>
      <c r="C644" s="161"/>
      <c r="D644" s="355">
        <f>'TTUHSCEP FGD'!$D$70</f>
        <v>1408367</v>
      </c>
      <c r="E644" s="355">
        <f>'TTUHSCEP FGD'!$E$70</f>
        <v>1712838</v>
      </c>
      <c r="F644" s="355">
        <f>'TTUHSCEP FGD'!$F$70</f>
        <v>0</v>
      </c>
      <c r="G644" s="355">
        <f>'TTUHSCEP FGD'!$G$70</f>
        <v>0</v>
      </c>
      <c r="H644" s="355">
        <f>'TTUHSCEP FGD'!$H$70</f>
        <v>2803</v>
      </c>
      <c r="I644" s="355">
        <f>'TTUHSCEP FGD'!$I$70</f>
        <v>0</v>
      </c>
      <c r="J644" s="355">
        <f>'TTUHSCEP FGD'!$J$70</f>
        <v>0</v>
      </c>
      <c r="K644" s="355">
        <f>'TTUHSCEP FGD'!$K$70</f>
        <v>0</v>
      </c>
      <c r="L644" s="355">
        <f>'TTUHSCEP FGD'!$L$70</f>
        <v>0</v>
      </c>
      <c r="M644" s="357">
        <f>'TTUHSCEP FGD'!$M$70</f>
        <v>3124008</v>
      </c>
      <c r="O644" s="320"/>
    </row>
    <row r="645" spans="1:15" hidden="1" outlineLevel="1">
      <c r="B645" s="392" t="str">
        <f>'UNTHSC FGD'!$B$2</f>
        <v>University of North Texas Health Science Center at Fort Worth</v>
      </c>
      <c r="C645" s="161"/>
      <c r="D645" s="355">
        <f>'UNTHSC FGD'!$D$70</f>
        <v>3121264</v>
      </c>
      <c r="E645" s="355">
        <f>'UNTHSC FGD'!$E$70</f>
        <v>2395053</v>
      </c>
      <c r="F645" s="355">
        <f>'UNTHSC FGD'!$F$70</f>
        <v>0</v>
      </c>
      <c r="G645" s="355">
        <f>'UNTHSC FGD'!$G$70</f>
        <v>600</v>
      </c>
      <c r="H645" s="355">
        <f>'UNTHSC FGD'!$H$70</f>
        <v>0</v>
      </c>
      <c r="I645" s="355">
        <f>'UNTHSC FGD'!$I$70</f>
        <v>0</v>
      </c>
      <c r="J645" s="355">
        <f>'UNTHSC FGD'!$J$70</f>
        <v>0</v>
      </c>
      <c r="K645" s="355">
        <f>'UNTHSC FGD'!$K$70</f>
        <v>0</v>
      </c>
      <c r="L645" s="355">
        <f>'UNTHSC FGD'!$L$70</f>
        <v>0</v>
      </c>
      <c r="M645" s="357">
        <f>'UNTHSC FGD'!$M$70</f>
        <v>5516917</v>
      </c>
      <c r="O645" s="320"/>
    </row>
    <row r="646" spans="1:15" collapsed="1">
      <c r="A646" s="147">
        <v>53</v>
      </c>
      <c r="B646" s="161" t="s">
        <v>18</v>
      </c>
      <c r="C646" s="161"/>
      <c r="D646" s="355">
        <f t="shared" ref="D646:M646" si="47">SUM(D634:D645)</f>
        <v>21688529</v>
      </c>
      <c r="E646" s="355">
        <f t="shared" si="47"/>
        <v>28854010</v>
      </c>
      <c r="F646" s="355">
        <f t="shared" si="47"/>
        <v>0</v>
      </c>
      <c r="G646" s="355">
        <f t="shared" si="47"/>
        <v>2817560</v>
      </c>
      <c r="H646" s="355">
        <f t="shared" si="47"/>
        <v>239789</v>
      </c>
      <c r="I646" s="355">
        <f t="shared" si="47"/>
        <v>0</v>
      </c>
      <c r="J646" s="355">
        <f t="shared" si="47"/>
        <v>0</v>
      </c>
      <c r="K646" s="355">
        <f t="shared" si="47"/>
        <v>0</v>
      </c>
      <c r="L646" s="355">
        <f t="shared" si="47"/>
        <v>0</v>
      </c>
      <c r="M646" s="357">
        <f t="shared" si="47"/>
        <v>53599888</v>
      </c>
      <c r="O646" s="320"/>
    </row>
    <row r="647" spans="1:15" hidden="1" outlineLevel="1">
      <c r="B647" s="392" t="str">
        <f>'AUSM FGD'!$B$2</f>
        <v>The University of Texas at Austin Medical School (M)</v>
      </c>
      <c r="C647" s="161"/>
      <c r="D647" s="355">
        <f>'AUSM FGD'!$D$71</f>
        <v>3274174</v>
      </c>
      <c r="E647" s="355">
        <f>'AUSM FGD'!$E$71</f>
        <v>14678601</v>
      </c>
      <c r="F647" s="355">
        <f>'AUSM FGD'!$F$71</f>
        <v>0</v>
      </c>
      <c r="G647" s="355">
        <f>'AUSM FGD'!$G$71</f>
        <v>916917</v>
      </c>
      <c r="H647" s="355">
        <f>'AUSM FGD'!$H$71</f>
        <v>0</v>
      </c>
      <c r="I647" s="355">
        <f>'AUSM FGD'!$I$71</f>
        <v>0</v>
      </c>
      <c r="J647" s="355">
        <f>'AUSM FGD'!$J$71</f>
        <v>0</v>
      </c>
      <c r="K647" s="355">
        <f>'AUSM FGD'!$K$71</f>
        <v>0</v>
      </c>
      <c r="L647" s="355">
        <f>'AUSM FGD'!$L$71</f>
        <v>0</v>
      </c>
      <c r="M647" s="357">
        <f>'AUSM FGD'!$M$71</f>
        <v>18869692</v>
      </c>
      <c r="O647" s="320"/>
    </row>
    <row r="648" spans="1:15" hidden="1" outlineLevel="1">
      <c r="B648" s="392" t="str">
        <f>'HSH FGD'!$B$2</f>
        <v>The University of Texas Health Science Center at Houston</v>
      </c>
      <c r="C648" s="161"/>
      <c r="D648" s="355">
        <f>'HSH FGD'!$D$71</f>
        <v>33668897</v>
      </c>
      <c r="E648" s="355">
        <f>'HSH FGD'!$E$71</f>
        <v>41133787</v>
      </c>
      <c r="F648" s="355">
        <f>'HSH FGD'!$F$71</f>
        <v>0</v>
      </c>
      <c r="G648" s="355">
        <f>'HSH FGD'!$G$71</f>
        <v>2335162</v>
      </c>
      <c r="H648" s="355">
        <f>'HSH FGD'!$H$71</f>
        <v>0</v>
      </c>
      <c r="I648" s="355">
        <f>'HSH FGD'!$I$71</f>
        <v>0</v>
      </c>
      <c r="J648" s="355">
        <f>'HSH FGD'!$J$71</f>
        <v>0</v>
      </c>
      <c r="K648" s="355">
        <f>'HSH FGD'!$K$71</f>
        <v>0</v>
      </c>
      <c r="L648" s="355">
        <f>'HSH FGD'!$L$71</f>
        <v>0</v>
      </c>
      <c r="M648" s="357">
        <f>'HSH FGD'!$M$71</f>
        <v>77137846</v>
      </c>
      <c r="O648" s="320"/>
    </row>
    <row r="649" spans="1:15" hidden="1" outlineLevel="1">
      <c r="B649" s="392" t="str">
        <f>'HSSA FGD'!$B$2</f>
        <v>The University of Texas Health Science Center at San Antonio</v>
      </c>
      <c r="C649" s="161"/>
      <c r="D649" s="355">
        <f>'HSSA FGD'!$D$71</f>
        <v>28793387</v>
      </c>
      <c r="E649" s="355">
        <f>'HSSA FGD'!$E$71</f>
        <v>18111561</v>
      </c>
      <c r="F649" s="355">
        <f>'HSSA FGD'!$F$71</f>
        <v>0</v>
      </c>
      <c r="G649" s="355">
        <f>'HSSA FGD'!$G$71</f>
        <v>936887</v>
      </c>
      <c r="H649" s="355">
        <f>'HSSA FGD'!$H$71</f>
        <v>0</v>
      </c>
      <c r="I649" s="355">
        <f>'HSSA FGD'!$I$71</f>
        <v>0</v>
      </c>
      <c r="J649" s="355">
        <f>'HSSA FGD'!$J$71</f>
        <v>0</v>
      </c>
      <c r="K649" s="355">
        <f>'HSSA FGD'!$K$71</f>
        <v>0</v>
      </c>
      <c r="L649" s="355">
        <f>'HSSA FGD'!$L$71</f>
        <v>0</v>
      </c>
      <c r="M649" s="357">
        <f>'HSSA FGD'!$M$71</f>
        <v>47841835</v>
      </c>
      <c r="O649" s="320"/>
    </row>
    <row r="650" spans="1:15" hidden="1" outlineLevel="1">
      <c r="B650" s="392" t="str">
        <f>'MBG FGD'!$B$2</f>
        <v>The University of Texas Medical Branch at Galveston</v>
      </c>
      <c r="C650" s="161"/>
      <c r="D650" s="355">
        <f>'MBG FGD'!$D$71</f>
        <v>59528608</v>
      </c>
      <c r="E650" s="355">
        <f>'MBG FGD'!$E$71</f>
        <v>25859227</v>
      </c>
      <c r="F650" s="355">
        <f>'MBG FGD'!$F$71</f>
        <v>0</v>
      </c>
      <c r="G650" s="355">
        <f>'MBG FGD'!$G$71</f>
        <v>1702703</v>
      </c>
      <c r="H650" s="355">
        <f>'MBG FGD'!$H$71</f>
        <v>0</v>
      </c>
      <c r="I650" s="355">
        <f>'MBG FGD'!$I$71</f>
        <v>0</v>
      </c>
      <c r="J650" s="355">
        <f>'MBG FGD'!$J$71</f>
        <v>0</v>
      </c>
      <c r="K650" s="355">
        <f>'MBG FGD'!$K$71</f>
        <v>0</v>
      </c>
      <c r="L650" s="355">
        <f>'MBG FGD'!$L$71</f>
        <v>0</v>
      </c>
      <c r="M650" s="357">
        <f>'MBG FGD'!$M$71</f>
        <v>87090538</v>
      </c>
      <c r="O650" s="320"/>
    </row>
    <row r="651" spans="1:15" hidden="1" outlineLevel="1">
      <c r="B651" s="392" t="str">
        <f>'MDA FGD'!$B$2</f>
        <v>The University of Texas M.D. Anderson Cancer Center</v>
      </c>
      <c r="C651" s="161"/>
      <c r="D651" s="355">
        <f>'MDA FGD'!$D$71</f>
        <v>107499763</v>
      </c>
      <c r="E651" s="355">
        <f>'MDA FGD'!$E$71</f>
        <v>22997005</v>
      </c>
      <c r="F651" s="355">
        <f>'MDA FGD'!$F$71</f>
        <v>0</v>
      </c>
      <c r="G651" s="355">
        <f>'MDA FGD'!$G$71</f>
        <v>2033638</v>
      </c>
      <c r="H651" s="355">
        <f>'MDA FGD'!$H$71</f>
        <v>0</v>
      </c>
      <c r="I651" s="355">
        <f>'MDA FGD'!$I$71</f>
        <v>0</v>
      </c>
      <c r="J651" s="355">
        <f>'MDA FGD'!$J$71</f>
        <v>0</v>
      </c>
      <c r="K651" s="355">
        <f>'MDA FGD'!$K$71</f>
        <v>0</v>
      </c>
      <c r="L651" s="355">
        <f>'MDA FGD'!$L$71</f>
        <v>0</v>
      </c>
      <c r="M651" s="357">
        <f>'MDA FGD'!$M$71</f>
        <v>132530406</v>
      </c>
      <c r="O651" s="320"/>
    </row>
    <row r="652" spans="1:15" hidden="1" outlineLevel="1">
      <c r="B652" s="392" t="str">
        <f>'RGVM FGD'!$B$2</f>
        <v>The University of Texas Rio Grande Valley Medical School (M)</v>
      </c>
      <c r="C652" s="161"/>
      <c r="D652" s="355">
        <f>'RGVM FGD'!$D$71</f>
        <v>2902758</v>
      </c>
      <c r="E652" s="355">
        <f>'RGVM FGD'!$E$71</f>
        <v>500565</v>
      </c>
      <c r="F652" s="355">
        <f>'RGVM FGD'!$F$71</f>
        <v>0</v>
      </c>
      <c r="G652" s="355">
        <f>'RGVM FGD'!$G$71</f>
        <v>1068152</v>
      </c>
      <c r="H652" s="355">
        <f>'RGVM FGD'!$H$71</f>
        <v>0</v>
      </c>
      <c r="I652" s="355">
        <f>'RGVM FGD'!$I$71</f>
        <v>0</v>
      </c>
      <c r="J652" s="355">
        <f>'RGVM FGD'!$J$71</f>
        <v>0</v>
      </c>
      <c r="K652" s="355">
        <f>'RGVM FGD'!$K$71</f>
        <v>0</v>
      </c>
      <c r="L652" s="355">
        <f>'RGVM FGD'!$L$71</f>
        <v>0</v>
      </c>
      <c r="M652" s="357">
        <f>'RGVM FGD'!$M$71</f>
        <v>4471475</v>
      </c>
      <c r="O652" s="320"/>
    </row>
    <row r="653" spans="1:15" hidden="1" outlineLevel="1">
      <c r="B653" s="392" t="str">
        <f>'SWM FGD'!$B$2</f>
        <v>The University of Texas Southwestern Medical Center</v>
      </c>
      <c r="C653" s="161"/>
      <c r="D653" s="355">
        <f>'SWM FGD'!$D$71</f>
        <v>29031359</v>
      </c>
      <c r="E653" s="355">
        <f>'SWM FGD'!$E$71</f>
        <v>34908072</v>
      </c>
      <c r="F653" s="355">
        <f>'SWM FGD'!$F$71</f>
        <v>0</v>
      </c>
      <c r="G653" s="355">
        <f>'SWM FGD'!$G$71</f>
        <v>7056388</v>
      </c>
      <c r="H653" s="355">
        <f>'SWM FGD'!$H$71</f>
        <v>0</v>
      </c>
      <c r="I653" s="355">
        <f>'SWM FGD'!$I$71</f>
        <v>0</v>
      </c>
      <c r="J653" s="355">
        <f>'SWM FGD'!$J$71</f>
        <v>0</v>
      </c>
      <c r="K653" s="355">
        <f>'SWM FGD'!$K$71</f>
        <v>0</v>
      </c>
      <c r="L653" s="355">
        <f>'SWM FGD'!$L$71</f>
        <v>0</v>
      </c>
      <c r="M653" s="357">
        <f>'SWM FGD'!$M$71</f>
        <v>70995819</v>
      </c>
      <c r="O653" s="320"/>
    </row>
    <row r="654" spans="1:15" hidden="1" outlineLevel="1">
      <c r="B654" s="392" t="str">
        <f>'TAMHSC FGD'!$B$2</f>
        <v>Texas A&amp;M University System Health Science Center</v>
      </c>
      <c r="C654" s="161"/>
      <c r="D654" s="355">
        <f>'TAMHSC FGD'!$D$71</f>
        <v>11530555</v>
      </c>
      <c r="E654" s="355">
        <f>'TAMHSC FGD'!$E$71</f>
        <v>2803104</v>
      </c>
      <c r="F654" s="355">
        <f>'TAMHSC FGD'!$F$71</f>
        <v>0</v>
      </c>
      <c r="G654" s="355">
        <f>'TAMHSC FGD'!$G$71</f>
        <v>89729</v>
      </c>
      <c r="H654" s="355">
        <f>'TAMHSC FGD'!$H$71</f>
        <v>0</v>
      </c>
      <c r="I654" s="355">
        <f>'TAMHSC FGD'!$I$71</f>
        <v>0</v>
      </c>
      <c r="J654" s="355">
        <f>'TAMHSC FGD'!$J$71</f>
        <v>0</v>
      </c>
      <c r="K654" s="355">
        <f>'TAMHSC FGD'!$K$71</f>
        <v>0</v>
      </c>
      <c r="L654" s="355">
        <f>'TAMHSC FGD'!$L$71</f>
        <v>0</v>
      </c>
      <c r="M654" s="357">
        <f>'TAMHSC FGD'!$M$71</f>
        <v>14423388</v>
      </c>
      <c r="O654" s="320"/>
    </row>
    <row r="655" spans="1:15" hidden="1" outlineLevel="1">
      <c r="B655" s="392" t="str">
        <f>'THC FGD'!$B$2</f>
        <v>The University of Texas Health Science Center at Tyler</v>
      </c>
      <c r="C655" s="161"/>
      <c r="D655" s="355">
        <f>'THC FGD'!$D$71</f>
        <v>18529345</v>
      </c>
      <c r="E655" s="355">
        <f>'THC FGD'!$E$71</f>
        <v>1343622</v>
      </c>
      <c r="F655" s="355">
        <f>'THC FGD'!$F$71</f>
        <v>0</v>
      </c>
      <c r="G655" s="355">
        <f>'THC FGD'!$G$71</f>
        <v>100513</v>
      </c>
      <c r="H655" s="355">
        <f>'THC FGD'!$H$71</f>
        <v>0</v>
      </c>
      <c r="I655" s="355">
        <f>'THC FGD'!$I$71</f>
        <v>0</v>
      </c>
      <c r="J655" s="355">
        <f>'THC FGD'!$J$71</f>
        <v>0</v>
      </c>
      <c r="K655" s="355">
        <f>'THC FGD'!$K$71</f>
        <v>0</v>
      </c>
      <c r="L655" s="355">
        <f>'THC FGD'!$L$71</f>
        <v>0</v>
      </c>
      <c r="M655" s="357">
        <f>'THC FGD'!$M$71</f>
        <v>19973480</v>
      </c>
      <c r="O655" s="320"/>
    </row>
    <row r="656" spans="1:15" hidden="1" outlineLevel="1">
      <c r="B656" s="392" t="str">
        <f>'TTUHSC FGD'!$B$2</f>
        <v>Texas Tech University Health Sciences Center</v>
      </c>
      <c r="C656" s="161"/>
      <c r="D656" s="355">
        <f>'TTUHSC FGD'!$D$71</f>
        <v>20499540</v>
      </c>
      <c r="E656" s="355">
        <f>'TTUHSC FGD'!$E$71</f>
        <v>6612343</v>
      </c>
      <c r="F656" s="355">
        <f>'TTUHSC FGD'!$F$71</f>
        <v>0</v>
      </c>
      <c r="G656" s="355">
        <f>'TTUHSC FGD'!$G$71</f>
        <v>1925827</v>
      </c>
      <c r="H656" s="355">
        <f>'TTUHSC FGD'!$H$71</f>
        <v>0</v>
      </c>
      <c r="I656" s="355">
        <f>'TTUHSC FGD'!$I$71</f>
        <v>0</v>
      </c>
      <c r="J656" s="355">
        <f>'TTUHSC FGD'!$J$71</f>
        <v>335083</v>
      </c>
      <c r="K656" s="355">
        <f>'TTUHSC FGD'!$K$71</f>
        <v>0</v>
      </c>
      <c r="L656" s="355">
        <f>'TTUHSC FGD'!$L$71</f>
        <v>0</v>
      </c>
      <c r="M656" s="357">
        <f>'TTUHSC FGD'!$M$71</f>
        <v>29372793</v>
      </c>
      <c r="O656" s="320"/>
    </row>
    <row r="657" spans="1:15" hidden="1" outlineLevel="1">
      <c r="B657" s="392" t="str">
        <f>'TTUHSCEP FGD'!$B$2</f>
        <v>Texas Tech University Health Sciences Center at El Paso</v>
      </c>
      <c r="C657" s="161"/>
      <c r="D657" s="355">
        <f>'TTUHSCEP FGD'!$D$71</f>
        <v>11655669</v>
      </c>
      <c r="E657" s="355">
        <f>'TTUHSCEP FGD'!$E$71</f>
        <v>260667</v>
      </c>
      <c r="F657" s="355">
        <f>'TTUHSCEP FGD'!$F$71</f>
        <v>0</v>
      </c>
      <c r="G657" s="355">
        <f>'TTUHSCEP FGD'!$G$71</f>
        <v>0</v>
      </c>
      <c r="H657" s="355">
        <f>'TTUHSCEP FGD'!$H$71</f>
        <v>0</v>
      </c>
      <c r="I657" s="355">
        <f>'TTUHSCEP FGD'!$I$71</f>
        <v>0</v>
      </c>
      <c r="J657" s="355">
        <f>'TTUHSCEP FGD'!$J$71</f>
        <v>0</v>
      </c>
      <c r="K657" s="355">
        <f>'TTUHSCEP FGD'!$K$71</f>
        <v>0</v>
      </c>
      <c r="L657" s="355">
        <f>'TTUHSCEP FGD'!$L$71</f>
        <v>0</v>
      </c>
      <c r="M657" s="357">
        <f>'TTUHSCEP FGD'!$M$71</f>
        <v>11916336</v>
      </c>
      <c r="O657" s="320"/>
    </row>
    <row r="658" spans="1:15" hidden="1" outlineLevel="1">
      <c r="B658" s="392" t="str">
        <f>'UNTHSC FGD'!$B$2</f>
        <v>University of North Texas Health Science Center at Fort Worth</v>
      </c>
      <c r="C658" s="161"/>
      <c r="D658" s="355">
        <f>'UNTHSC FGD'!$D$71</f>
        <v>12206108</v>
      </c>
      <c r="E658" s="355">
        <f>'UNTHSC FGD'!$E$71</f>
        <v>5647039</v>
      </c>
      <c r="F658" s="355">
        <f>'UNTHSC FGD'!$F$71</f>
        <v>0</v>
      </c>
      <c r="G658" s="355">
        <f>'UNTHSC FGD'!$G$71</f>
        <v>45897</v>
      </c>
      <c r="H658" s="355">
        <f>'UNTHSC FGD'!$H$71</f>
        <v>0</v>
      </c>
      <c r="I658" s="355">
        <f>'UNTHSC FGD'!$I$71</f>
        <v>56850</v>
      </c>
      <c r="J658" s="355">
        <f>'UNTHSC FGD'!$J$71</f>
        <v>0</v>
      </c>
      <c r="K658" s="355">
        <f>'UNTHSC FGD'!$K$71</f>
        <v>0</v>
      </c>
      <c r="L658" s="355">
        <f>'UNTHSC FGD'!$L$71</f>
        <v>0</v>
      </c>
      <c r="M658" s="357">
        <f>'UNTHSC FGD'!$M$71</f>
        <v>17955894</v>
      </c>
      <c r="O658" s="320"/>
    </row>
    <row r="659" spans="1:15" collapsed="1">
      <c r="A659" s="147">
        <v>54</v>
      </c>
      <c r="B659" s="161" t="s">
        <v>19</v>
      </c>
      <c r="C659" s="161"/>
      <c r="D659" s="355">
        <f t="shared" ref="D659:M659" si="48">SUM(D647:D658)</f>
        <v>339120163</v>
      </c>
      <c r="E659" s="355">
        <f t="shared" si="48"/>
        <v>174855593</v>
      </c>
      <c r="F659" s="355">
        <f t="shared" si="48"/>
        <v>0</v>
      </c>
      <c r="G659" s="355">
        <f t="shared" si="48"/>
        <v>18211813</v>
      </c>
      <c r="H659" s="355">
        <f t="shared" si="48"/>
        <v>0</v>
      </c>
      <c r="I659" s="355">
        <f t="shared" si="48"/>
        <v>56850</v>
      </c>
      <c r="J659" s="355">
        <f t="shared" si="48"/>
        <v>335083</v>
      </c>
      <c r="K659" s="355">
        <f t="shared" si="48"/>
        <v>0</v>
      </c>
      <c r="L659" s="355">
        <f t="shared" si="48"/>
        <v>0</v>
      </c>
      <c r="M659" s="357">
        <f t="shared" si="48"/>
        <v>532579502</v>
      </c>
      <c r="O659" s="320"/>
    </row>
    <row r="660" spans="1:15" hidden="1" outlineLevel="1">
      <c r="B660" s="392" t="str">
        <f>'AUSM FGD'!$B$2</f>
        <v>The University of Texas at Austin Medical School (M)</v>
      </c>
      <c r="C660" s="161"/>
      <c r="D660" s="355">
        <f>'AUSM FGD'!$D$72</f>
        <v>3517700</v>
      </c>
      <c r="E660" s="355">
        <f>'AUSM FGD'!$E$72</f>
        <v>7422845</v>
      </c>
      <c r="F660" s="355">
        <f>'AUSM FGD'!$F$72</f>
        <v>0</v>
      </c>
      <c r="G660" s="355">
        <f>'AUSM FGD'!$G$72</f>
        <v>0</v>
      </c>
      <c r="H660" s="355">
        <f>'AUSM FGD'!$H$72</f>
        <v>0</v>
      </c>
      <c r="I660" s="355">
        <f>'AUSM FGD'!$I$72</f>
        <v>0</v>
      </c>
      <c r="J660" s="355">
        <f>'AUSM FGD'!$J$72</f>
        <v>1592833</v>
      </c>
      <c r="K660" s="355">
        <f>'AUSM FGD'!$K$72</f>
        <v>0</v>
      </c>
      <c r="L660" s="355">
        <f>'AUSM FGD'!$L$72</f>
        <v>0</v>
      </c>
      <c r="M660" s="357">
        <f>'AUSM FGD'!$M$72</f>
        <v>12533378</v>
      </c>
      <c r="O660" s="320"/>
    </row>
    <row r="661" spans="1:15" hidden="1" outlineLevel="1">
      <c r="B661" s="392" t="str">
        <f>'HSH FGD'!$B$2</f>
        <v>The University of Texas Health Science Center at Houston</v>
      </c>
      <c r="C661" s="161"/>
      <c r="D661" s="355">
        <f>'HSH FGD'!$D$72</f>
        <v>20040303</v>
      </c>
      <c r="E661" s="355">
        <f>'HSH FGD'!$E$72</f>
        <v>17178773</v>
      </c>
      <c r="F661" s="355">
        <f>'HSH FGD'!$F$72</f>
        <v>0</v>
      </c>
      <c r="G661" s="355">
        <f>'HSH FGD'!$G$72</f>
        <v>648</v>
      </c>
      <c r="H661" s="355">
        <f>'HSH FGD'!$H$72</f>
        <v>0</v>
      </c>
      <c r="I661" s="355">
        <f>'HSH FGD'!$I$72</f>
        <v>0</v>
      </c>
      <c r="J661" s="355">
        <f>'HSH FGD'!$J$72</f>
        <v>6723070</v>
      </c>
      <c r="K661" s="355">
        <f>'HSH FGD'!$K$72</f>
        <v>0</v>
      </c>
      <c r="L661" s="355">
        <f>'HSH FGD'!$L$72</f>
        <v>0</v>
      </c>
      <c r="M661" s="357">
        <f>'HSH FGD'!$M$72</f>
        <v>43942794</v>
      </c>
      <c r="O661" s="320"/>
    </row>
    <row r="662" spans="1:15" hidden="1" outlineLevel="1">
      <c r="B662" s="392" t="str">
        <f>'HSSA FGD'!$B$2</f>
        <v>The University of Texas Health Science Center at San Antonio</v>
      </c>
      <c r="C662" s="161"/>
      <c r="D662" s="355">
        <f>'HSSA FGD'!$D$72</f>
        <v>17094554</v>
      </c>
      <c r="E662" s="355">
        <f>'HSSA FGD'!$E$72</f>
        <v>19684245</v>
      </c>
      <c r="F662" s="355">
        <f>'HSSA FGD'!$F$72</f>
        <v>0</v>
      </c>
      <c r="G662" s="355">
        <f>'HSSA FGD'!$G$72</f>
        <v>4310</v>
      </c>
      <c r="H662" s="355">
        <f>'HSSA FGD'!$H$72</f>
        <v>0</v>
      </c>
      <c r="I662" s="355">
        <f>'HSSA FGD'!$I$72</f>
        <v>0</v>
      </c>
      <c r="J662" s="355">
        <f>'HSSA FGD'!$J$72</f>
        <v>808286</v>
      </c>
      <c r="K662" s="355">
        <f>'HSSA FGD'!$K$72</f>
        <v>0</v>
      </c>
      <c r="L662" s="355">
        <f>'HSSA FGD'!$L$72</f>
        <v>0</v>
      </c>
      <c r="M662" s="357">
        <f>'HSSA FGD'!$M$72</f>
        <v>37591395</v>
      </c>
      <c r="O662" s="320"/>
    </row>
    <row r="663" spans="1:15" hidden="1" outlineLevel="1">
      <c r="B663" s="392" t="str">
        <f>'MBG FGD'!$B$2</f>
        <v>The University of Texas Medical Branch at Galveston</v>
      </c>
      <c r="C663" s="161"/>
      <c r="D663" s="355">
        <f>'MBG FGD'!$D$72</f>
        <v>40654062</v>
      </c>
      <c r="E663" s="355">
        <f>'MBG FGD'!$E$72</f>
        <v>5968890</v>
      </c>
      <c r="F663" s="355">
        <f>'MBG FGD'!$F$72</f>
        <v>0</v>
      </c>
      <c r="G663" s="355">
        <f>'MBG FGD'!$G$72</f>
        <v>3903329</v>
      </c>
      <c r="H663" s="355">
        <f>'MBG FGD'!$H$72</f>
        <v>0</v>
      </c>
      <c r="I663" s="355">
        <f>'MBG FGD'!$I$72</f>
        <v>0</v>
      </c>
      <c r="J663" s="355">
        <f>'MBG FGD'!$J$72</f>
        <v>8529794</v>
      </c>
      <c r="K663" s="355">
        <f>'MBG FGD'!$K$72</f>
        <v>0</v>
      </c>
      <c r="L663" s="355">
        <f>'MBG FGD'!$L$72</f>
        <v>0</v>
      </c>
      <c r="M663" s="357">
        <f>'MBG FGD'!$M$72</f>
        <v>59056075</v>
      </c>
      <c r="O663" s="320"/>
    </row>
    <row r="664" spans="1:15" hidden="1" outlineLevel="1">
      <c r="B664" s="392" t="str">
        <f>'MDA FGD'!$B$2</f>
        <v>The University of Texas M.D. Anderson Cancer Center</v>
      </c>
      <c r="C664" s="161"/>
      <c r="D664" s="355">
        <f>'MDA FGD'!$D$72</f>
        <v>206866393</v>
      </c>
      <c r="E664" s="355">
        <f>'MDA FGD'!$E$72</f>
        <v>334038</v>
      </c>
      <c r="F664" s="355">
        <f>'MDA FGD'!$F$72</f>
        <v>0</v>
      </c>
      <c r="G664" s="355">
        <f>'MDA FGD'!$G$72</f>
        <v>202166</v>
      </c>
      <c r="H664" s="355">
        <f>'MDA FGD'!$H$72</f>
        <v>0</v>
      </c>
      <c r="I664" s="355">
        <f>'MDA FGD'!$I$72</f>
        <v>0</v>
      </c>
      <c r="J664" s="355">
        <f>'MDA FGD'!$J$72</f>
        <v>0</v>
      </c>
      <c r="K664" s="355">
        <f>'MDA FGD'!$K$72</f>
        <v>0</v>
      </c>
      <c r="L664" s="355">
        <f>'MDA FGD'!$L$72</f>
        <v>0</v>
      </c>
      <c r="M664" s="357">
        <f>'MDA FGD'!$M$72</f>
        <v>207402597</v>
      </c>
      <c r="O664" s="320"/>
    </row>
    <row r="665" spans="1:15" hidden="1" outlineLevel="1">
      <c r="B665" s="392" t="str">
        <f>'RGVM FGD'!$B$2</f>
        <v>The University of Texas Rio Grande Valley Medical School (M)</v>
      </c>
      <c r="C665" s="161"/>
      <c r="D665" s="355">
        <f>'RGVM FGD'!$D$72</f>
        <v>2432992</v>
      </c>
      <c r="E665" s="355">
        <f>'RGVM FGD'!$E$72</f>
        <v>460055</v>
      </c>
      <c r="F665" s="355">
        <f>'RGVM FGD'!$F$72</f>
        <v>0</v>
      </c>
      <c r="G665" s="355">
        <f>'RGVM FGD'!$G$72</f>
        <v>0</v>
      </c>
      <c r="H665" s="355">
        <f>'RGVM FGD'!$H$72</f>
        <v>0</v>
      </c>
      <c r="I665" s="355">
        <f>'RGVM FGD'!$I$72</f>
        <v>0</v>
      </c>
      <c r="J665" s="355">
        <f>'RGVM FGD'!$J$72</f>
        <v>1205589</v>
      </c>
      <c r="K665" s="355">
        <f>'RGVM FGD'!$K$72</f>
        <v>0</v>
      </c>
      <c r="L665" s="355">
        <f>'RGVM FGD'!$L$72</f>
        <v>0</v>
      </c>
      <c r="M665" s="357">
        <f>'RGVM FGD'!$M$72</f>
        <v>4098636</v>
      </c>
      <c r="O665" s="320"/>
    </row>
    <row r="666" spans="1:15" hidden="1" outlineLevel="1">
      <c r="B666" s="392" t="str">
        <f>'SWM FGD'!$B$2</f>
        <v>The University of Texas Southwestern Medical Center</v>
      </c>
      <c r="C666" s="161"/>
      <c r="D666" s="355">
        <f>'SWM FGD'!$D$72</f>
        <v>17630656</v>
      </c>
      <c r="E666" s="355">
        <f>'SWM FGD'!$E$72</f>
        <v>36909047</v>
      </c>
      <c r="F666" s="355">
        <f>'SWM FGD'!$F$72</f>
        <v>0</v>
      </c>
      <c r="G666" s="355">
        <f>'SWM FGD'!$G$72</f>
        <v>837850</v>
      </c>
      <c r="H666" s="355">
        <f>'SWM FGD'!$H$72</f>
        <v>0</v>
      </c>
      <c r="I666" s="355">
        <f>'SWM FGD'!$I$72</f>
        <v>0</v>
      </c>
      <c r="J666" s="355">
        <f>'SWM FGD'!$J$72</f>
        <v>28346719</v>
      </c>
      <c r="K666" s="355">
        <f>'SWM FGD'!$K$72</f>
        <v>0</v>
      </c>
      <c r="L666" s="355">
        <f>'SWM FGD'!$L$72</f>
        <v>0</v>
      </c>
      <c r="M666" s="357">
        <f>'SWM FGD'!$M$72</f>
        <v>83724272</v>
      </c>
      <c r="O666" s="320"/>
    </row>
    <row r="667" spans="1:15" hidden="1" outlineLevel="1">
      <c r="B667" s="392" t="str">
        <f>'TAMHSC FGD'!$B$2</f>
        <v>Texas A&amp;M University System Health Science Center</v>
      </c>
      <c r="C667" s="161"/>
      <c r="D667" s="355">
        <f>'TAMHSC FGD'!$D$72</f>
        <v>11061680</v>
      </c>
      <c r="E667" s="355">
        <f>'TAMHSC FGD'!$E$72</f>
        <v>12362296</v>
      </c>
      <c r="F667" s="355">
        <f>'TAMHSC FGD'!$F$72</f>
        <v>0</v>
      </c>
      <c r="G667" s="355">
        <f>'TAMHSC FGD'!$G$72</f>
        <v>2027</v>
      </c>
      <c r="H667" s="355">
        <f>'TAMHSC FGD'!$H$72</f>
        <v>0</v>
      </c>
      <c r="I667" s="355">
        <f>'TAMHSC FGD'!$I$72</f>
        <v>0</v>
      </c>
      <c r="J667" s="355">
        <f>'TAMHSC FGD'!$J$72</f>
        <v>168250</v>
      </c>
      <c r="K667" s="355">
        <f>'TAMHSC FGD'!$K$72</f>
        <v>0</v>
      </c>
      <c r="L667" s="355">
        <f>'TAMHSC FGD'!$L$72</f>
        <v>0</v>
      </c>
      <c r="M667" s="357">
        <f>'TAMHSC FGD'!$M$72</f>
        <v>23594253</v>
      </c>
      <c r="O667" s="320"/>
    </row>
    <row r="668" spans="1:15" hidden="1" outlineLevel="1">
      <c r="B668" s="392" t="str">
        <f>'THC FGD'!$B$2</f>
        <v>The University of Texas Health Science Center at Tyler</v>
      </c>
      <c r="C668" s="161"/>
      <c r="D668" s="355">
        <f>'THC FGD'!$D$72</f>
        <v>9231271</v>
      </c>
      <c r="E668" s="355">
        <f>'THC FGD'!$E$72</f>
        <v>0</v>
      </c>
      <c r="F668" s="355">
        <f>'THC FGD'!$F$72</f>
        <v>0</v>
      </c>
      <c r="G668" s="355">
        <f>'THC FGD'!$G$72</f>
        <v>0</v>
      </c>
      <c r="H668" s="355">
        <f>'THC FGD'!$H$72</f>
        <v>0</v>
      </c>
      <c r="I668" s="355">
        <f>'THC FGD'!$I$72</f>
        <v>0</v>
      </c>
      <c r="J668" s="355">
        <f>'THC FGD'!$J$72</f>
        <v>985526</v>
      </c>
      <c r="K668" s="355">
        <f>'THC FGD'!$K$72</f>
        <v>0</v>
      </c>
      <c r="L668" s="355">
        <f>'THC FGD'!$L$72</f>
        <v>0</v>
      </c>
      <c r="M668" s="357">
        <f>'THC FGD'!$M$72</f>
        <v>10216797</v>
      </c>
      <c r="O668" s="320"/>
    </row>
    <row r="669" spans="1:15" hidden="1" outlineLevel="1">
      <c r="B669" s="392" t="str">
        <f>'TTUHSC FGD'!$B$2</f>
        <v>Texas Tech University Health Sciences Center</v>
      </c>
      <c r="C669" s="161"/>
      <c r="D669" s="355">
        <f>'TTUHSC FGD'!$D$72</f>
        <v>10653541</v>
      </c>
      <c r="E669" s="355">
        <f>'TTUHSC FGD'!$E$72</f>
        <v>10437098</v>
      </c>
      <c r="F669" s="355">
        <f>'TTUHSC FGD'!$F$72</f>
        <v>0</v>
      </c>
      <c r="G669" s="355">
        <f>'TTUHSC FGD'!$G$72</f>
        <v>204892</v>
      </c>
      <c r="H669" s="355">
        <f>'TTUHSC FGD'!$H$72</f>
        <v>0</v>
      </c>
      <c r="I669" s="355">
        <f>'TTUHSC FGD'!$I$72</f>
        <v>0</v>
      </c>
      <c r="J669" s="355">
        <f>'TTUHSC FGD'!$J$72</f>
        <v>5799546</v>
      </c>
      <c r="K669" s="355">
        <f>'TTUHSC FGD'!$K$72</f>
        <v>0</v>
      </c>
      <c r="L669" s="355">
        <f>'TTUHSC FGD'!$L$72</f>
        <v>0</v>
      </c>
      <c r="M669" s="357">
        <f>'TTUHSC FGD'!$M$72</f>
        <v>27095077</v>
      </c>
      <c r="O669" s="320"/>
    </row>
    <row r="670" spans="1:15" hidden="1" outlineLevel="1">
      <c r="B670" s="392" t="str">
        <f>'TTUHSCEP FGD'!$B$2</f>
        <v>Texas Tech University Health Sciences Center at El Paso</v>
      </c>
      <c r="C670" s="161"/>
      <c r="D670" s="355">
        <f>'TTUHSCEP FGD'!$D$72</f>
        <v>6762248</v>
      </c>
      <c r="E670" s="355">
        <f>'TTUHSCEP FGD'!$E$72</f>
        <v>2271960</v>
      </c>
      <c r="F670" s="355">
        <f>'TTUHSCEP FGD'!$F$72</f>
        <v>0</v>
      </c>
      <c r="G670" s="355">
        <f>'TTUHSCEP FGD'!$G$72</f>
        <v>0</v>
      </c>
      <c r="H670" s="355">
        <f>'TTUHSCEP FGD'!$H$72</f>
        <v>0</v>
      </c>
      <c r="I670" s="355">
        <f>'TTUHSCEP FGD'!$I$72</f>
        <v>0</v>
      </c>
      <c r="J670" s="355">
        <f>'TTUHSCEP FGD'!$J$72</f>
        <v>1485633</v>
      </c>
      <c r="K670" s="355">
        <f>'TTUHSCEP FGD'!$K$72</f>
        <v>0</v>
      </c>
      <c r="L670" s="355">
        <f>'TTUHSCEP FGD'!$L$72</f>
        <v>0</v>
      </c>
      <c r="M670" s="357">
        <f>'TTUHSCEP FGD'!$M$72</f>
        <v>10519841</v>
      </c>
      <c r="O670" s="320"/>
    </row>
    <row r="671" spans="1:15" hidden="1" outlineLevel="1">
      <c r="B671" s="392" t="str">
        <f>'UNTHSC FGD'!$B$2</f>
        <v>University of North Texas Health Science Center at Fort Worth</v>
      </c>
      <c r="C671" s="161"/>
      <c r="D671" s="355">
        <f>'UNTHSC FGD'!$D$72</f>
        <v>11259861</v>
      </c>
      <c r="E671" s="355">
        <f>'UNTHSC FGD'!$E$72</f>
        <v>2102590</v>
      </c>
      <c r="F671" s="355">
        <f>'UNTHSC FGD'!$F$72</f>
        <v>0</v>
      </c>
      <c r="G671" s="355">
        <f>'UNTHSC FGD'!$G$72</f>
        <v>-32597</v>
      </c>
      <c r="H671" s="355">
        <f>'UNTHSC FGD'!$H$72</f>
        <v>0</v>
      </c>
      <c r="I671" s="355">
        <f>'UNTHSC FGD'!$I$72</f>
        <v>0</v>
      </c>
      <c r="J671" s="355">
        <f>'UNTHSC FGD'!$J$72</f>
        <v>0</v>
      </c>
      <c r="K671" s="355">
        <f>'UNTHSC FGD'!$K$72</f>
        <v>0</v>
      </c>
      <c r="L671" s="355">
        <f>'UNTHSC FGD'!$L$72</f>
        <v>45876</v>
      </c>
      <c r="M671" s="357">
        <f>'UNTHSC FGD'!$M$72</f>
        <v>13375730</v>
      </c>
      <c r="O671" s="320"/>
    </row>
    <row r="672" spans="1:15" collapsed="1">
      <c r="A672" s="147">
        <v>55</v>
      </c>
      <c r="B672" s="161" t="s">
        <v>20</v>
      </c>
      <c r="C672" s="161"/>
      <c r="D672" s="355">
        <f t="shared" ref="D672:M672" si="49">SUM(D660:D671)</f>
        <v>357205261</v>
      </c>
      <c r="E672" s="355">
        <f t="shared" si="49"/>
        <v>115131837</v>
      </c>
      <c r="F672" s="355">
        <f t="shared" si="49"/>
        <v>0</v>
      </c>
      <c r="G672" s="355">
        <f t="shared" si="49"/>
        <v>5122625</v>
      </c>
      <c r="H672" s="355">
        <f t="shared" si="49"/>
        <v>0</v>
      </c>
      <c r="I672" s="355">
        <f t="shared" si="49"/>
        <v>0</v>
      </c>
      <c r="J672" s="355">
        <f t="shared" si="49"/>
        <v>55645246</v>
      </c>
      <c r="K672" s="355">
        <f t="shared" si="49"/>
        <v>0</v>
      </c>
      <c r="L672" s="355">
        <f t="shared" si="49"/>
        <v>45876</v>
      </c>
      <c r="M672" s="357">
        <f t="shared" si="49"/>
        <v>533150845</v>
      </c>
      <c r="O672" s="320"/>
    </row>
    <row r="673" spans="1:15" hidden="1" outlineLevel="1">
      <c r="B673" s="392" t="str">
        <f>'AUSM FGD'!$B$2</f>
        <v>The University of Texas at Austin Medical School (M)</v>
      </c>
      <c r="C673" s="161"/>
      <c r="D673" s="355">
        <f>'AUSM FGD'!$D$73</f>
        <v>18247</v>
      </c>
      <c r="E673" s="355">
        <f>'AUSM FGD'!$E$73</f>
        <v>290565</v>
      </c>
      <c r="F673" s="355">
        <f>'AUSM FGD'!$F$73</f>
        <v>0</v>
      </c>
      <c r="G673" s="355">
        <f>'AUSM FGD'!$G$73</f>
        <v>900823</v>
      </c>
      <c r="H673" s="355">
        <f>'AUSM FGD'!$H$73</f>
        <v>0</v>
      </c>
      <c r="I673" s="355">
        <f>'AUSM FGD'!$I$73</f>
        <v>0</v>
      </c>
      <c r="J673" s="355">
        <f>'AUSM FGD'!$J$73</f>
        <v>0</v>
      </c>
      <c r="K673" s="355">
        <f>'AUSM FGD'!$K$73</f>
        <v>0</v>
      </c>
      <c r="L673" s="355">
        <f>'AUSM FGD'!$L$73</f>
        <v>0</v>
      </c>
      <c r="M673" s="357">
        <f>'AUSM FGD'!$M$73</f>
        <v>1209635</v>
      </c>
      <c r="O673" s="320"/>
    </row>
    <row r="674" spans="1:15" hidden="1" outlineLevel="1">
      <c r="B674" s="392" t="str">
        <f>'HSH FGD'!$B$2</f>
        <v>The University of Texas Health Science Center at Houston</v>
      </c>
      <c r="C674" s="161"/>
      <c r="D674" s="355">
        <f>'HSH FGD'!$D$73</f>
        <v>107301</v>
      </c>
      <c r="E674" s="355">
        <f>'HSH FGD'!$E$73</f>
        <v>3263592</v>
      </c>
      <c r="F674" s="355">
        <f>'HSH FGD'!$F$73</f>
        <v>0</v>
      </c>
      <c r="G674" s="355">
        <f>'HSH FGD'!$G$73</f>
        <v>6297119</v>
      </c>
      <c r="H674" s="355">
        <f>'HSH FGD'!$H$73</f>
        <v>0</v>
      </c>
      <c r="I674" s="355">
        <f>'HSH FGD'!$I$73</f>
        <v>0</v>
      </c>
      <c r="J674" s="355">
        <f>'HSH FGD'!$J$73</f>
        <v>0</v>
      </c>
      <c r="K674" s="355">
        <f>'HSH FGD'!$K$73</f>
        <v>0</v>
      </c>
      <c r="L674" s="355">
        <f>'HSH FGD'!$L$73</f>
        <v>0</v>
      </c>
      <c r="M674" s="357">
        <f>'HSH FGD'!$M$73</f>
        <v>9668012</v>
      </c>
      <c r="O674" s="320"/>
    </row>
    <row r="675" spans="1:15" hidden="1" outlineLevel="1">
      <c r="B675" s="392" t="str">
        <f>'HSSA FGD'!$B$2</f>
        <v>The University of Texas Health Science Center at San Antonio</v>
      </c>
      <c r="C675" s="161"/>
      <c r="D675" s="355">
        <f>'HSSA FGD'!$D$73</f>
        <v>1765251</v>
      </c>
      <c r="E675" s="355">
        <f>'HSSA FGD'!$E$73</f>
        <v>307040</v>
      </c>
      <c r="F675" s="355">
        <f>'HSSA FGD'!$F$73</f>
        <v>0</v>
      </c>
      <c r="G675" s="355">
        <f>'HSSA FGD'!$G$73</f>
        <v>2810650</v>
      </c>
      <c r="H675" s="355">
        <f>'HSSA FGD'!$H$73</f>
        <v>0</v>
      </c>
      <c r="I675" s="355">
        <f>'HSSA FGD'!$I$73</f>
        <v>0</v>
      </c>
      <c r="J675" s="355">
        <f>'HSSA FGD'!$J$73</f>
        <v>0</v>
      </c>
      <c r="K675" s="355">
        <f>'HSSA FGD'!$K$73</f>
        <v>0</v>
      </c>
      <c r="L675" s="355">
        <f>'HSSA FGD'!$L$73</f>
        <v>0</v>
      </c>
      <c r="M675" s="357">
        <f>'HSSA FGD'!$M$73</f>
        <v>4882941</v>
      </c>
      <c r="O675" s="320"/>
    </row>
    <row r="676" spans="1:15" hidden="1" outlineLevel="1">
      <c r="B676" s="392" t="str">
        <f>'MBG FGD'!$B$2</f>
        <v>The University of Texas Medical Branch at Galveston</v>
      </c>
      <c r="C676" s="161"/>
      <c r="D676" s="355">
        <f>'MBG FGD'!$D$73</f>
        <v>30000</v>
      </c>
      <c r="E676" s="355">
        <f>'MBG FGD'!$E$73</f>
        <v>2083250</v>
      </c>
      <c r="F676" s="355">
        <f>'MBG FGD'!$F$73</f>
        <v>0</v>
      </c>
      <c r="G676" s="355">
        <f>'MBG FGD'!$G$73</f>
        <v>5900057</v>
      </c>
      <c r="H676" s="355">
        <f>'MBG FGD'!$H$73</f>
        <v>0</v>
      </c>
      <c r="I676" s="355">
        <f>'MBG FGD'!$I$73</f>
        <v>0</v>
      </c>
      <c r="J676" s="355">
        <f>'MBG FGD'!$J$73</f>
        <v>0</v>
      </c>
      <c r="K676" s="355">
        <f>'MBG FGD'!$K$73</f>
        <v>0</v>
      </c>
      <c r="L676" s="355">
        <f>'MBG FGD'!$L$73</f>
        <v>0</v>
      </c>
      <c r="M676" s="357">
        <f>'MBG FGD'!$M$73</f>
        <v>8013307</v>
      </c>
      <c r="O676" s="320"/>
    </row>
    <row r="677" spans="1:15" hidden="1" outlineLevel="1">
      <c r="B677" s="392" t="str">
        <f>'MDA FGD'!$B$2</f>
        <v>The University of Texas M.D. Anderson Cancer Center</v>
      </c>
      <c r="C677" s="161"/>
      <c r="D677" s="355">
        <f>'MDA FGD'!$D$73</f>
        <v>97972</v>
      </c>
      <c r="E677" s="355">
        <f>'MDA FGD'!$E$73</f>
        <v>551858</v>
      </c>
      <c r="F677" s="355">
        <f>'MDA FGD'!$F$73</f>
        <v>0</v>
      </c>
      <c r="G677" s="355">
        <f>'MDA FGD'!$G$73</f>
        <v>2162892</v>
      </c>
      <c r="H677" s="355">
        <f>'MDA FGD'!$H$73</f>
        <v>0</v>
      </c>
      <c r="I677" s="355">
        <f>'MDA FGD'!$I$73</f>
        <v>0</v>
      </c>
      <c r="J677" s="355">
        <f>'MDA FGD'!$J$73</f>
        <v>0</v>
      </c>
      <c r="K677" s="355">
        <f>'MDA FGD'!$K$73</f>
        <v>0</v>
      </c>
      <c r="L677" s="355">
        <f>'MDA FGD'!$L$73</f>
        <v>0</v>
      </c>
      <c r="M677" s="357">
        <f>'MDA FGD'!$M$73</f>
        <v>2812722</v>
      </c>
      <c r="O677" s="320"/>
    </row>
    <row r="678" spans="1:15" hidden="1" outlineLevel="1">
      <c r="B678" s="392" t="str">
        <f>'RGVM FGD'!$B$2</f>
        <v>The University of Texas Rio Grande Valley Medical School (M)</v>
      </c>
      <c r="C678" s="161"/>
      <c r="D678" s="355">
        <f>'RGVM FGD'!$D$73</f>
        <v>1046996</v>
      </c>
      <c r="E678" s="355">
        <f>'RGVM FGD'!$E$73</f>
        <v>0</v>
      </c>
      <c r="F678" s="355">
        <f>'RGVM FGD'!$F$73</f>
        <v>0</v>
      </c>
      <c r="G678" s="355">
        <f>'RGVM FGD'!$G$73</f>
        <v>0</v>
      </c>
      <c r="H678" s="355">
        <f>'RGVM FGD'!$H$73</f>
        <v>0</v>
      </c>
      <c r="I678" s="355">
        <f>'RGVM FGD'!$I$73</f>
        <v>0</v>
      </c>
      <c r="J678" s="355">
        <f>'RGVM FGD'!$J$73</f>
        <v>0</v>
      </c>
      <c r="K678" s="355">
        <f>'RGVM FGD'!$K$73</f>
        <v>0</v>
      </c>
      <c r="L678" s="355">
        <f>'RGVM FGD'!$L$73</f>
        <v>0</v>
      </c>
      <c r="M678" s="357">
        <f>'RGVM FGD'!$M$73</f>
        <v>1046996</v>
      </c>
      <c r="O678" s="320"/>
    </row>
    <row r="679" spans="1:15" hidden="1" outlineLevel="1">
      <c r="B679" s="392" t="str">
        <f>'SWM FGD'!$B$2</f>
        <v>The University of Texas Southwestern Medical Center</v>
      </c>
      <c r="C679" s="161"/>
      <c r="D679" s="355">
        <f>'SWM FGD'!$D$73</f>
        <v>96755</v>
      </c>
      <c r="E679" s="355">
        <f>'SWM FGD'!$E$73</f>
        <v>26581</v>
      </c>
      <c r="F679" s="355">
        <f>'SWM FGD'!$F$73</f>
        <v>0</v>
      </c>
      <c r="G679" s="355">
        <f>'SWM FGD'!$G$73</f>
        <v>4336792</v>
      </c>
      <c r="H679" s="355">
        <f>'SWM FGD'!$H$73</f>
        <v>0</v>
      </c>
      <c r="I679" s="355">
        <f>'SWM FGD'!$I$73</f>
        <v>0</v>
      </c>
      <c r="J679" s="355">
        <f>'SWM FGD'!$J$73</f>
        <v>0</v>
      </c>
      <c r="K679" s="355">
        <f>'SWM FGD'!$K$73</f>
        <v>0</v>
      </c>
      <c r="L679" s="355">
        <f>'SWM FGD'!$L$73</f>
        <v>0</v>
      </c>
      <c r="M679" s="357">
        <f>'SWM FGD'!$M$73</f>
        <v>4460128</v>
      </c>
      <c r="O679" s="320"/>
    </row>
    <row r="680" spans="1:15" hidden="1" outlineLevel="1">
      <c r="B680" s="392" t="str">
        <f>'TAMHSC FGD'!$B$2</f>
        <v>Texas A&amp;M University System Health Science Center</v>
      </c>
      <c r="C680" s="161"/>
      <c r="D680" s="355">
        <f>'TAMHSC FGD'!$D$73</f>
        <v>160070</v>
      </c>
      <c r="E680" s="355">
        <f>'TAMHSC FGD'!$E$73</f>
        <v>1477962</v>
      </c>
      <c r="F680" s="355">
        <f>'TAMHSC FGD'!$F$73</f>
        <v>0</v>
      </c>
      <c r="G680" s="355">
        <f>'TAMHSC FGD'!$G$73</f>
        <v>414643</v>
      </c>
      <c r="H680" s="355">
        <f>'TAMHSC FGD'!$H$73</f>
        <v>0</v>
      </c>
      <c r="I680" s="355">
        <f>'TAMHSC FGD'!$I$73</f>
        <v>0</v>
      </c>
      <c r="J680" s="355">
        <f>'TAMHSC FGD'!$J$73</f>
        <v>0</v>
      </c>
      <c r="K680" s="355">
        <f>'TAMHSC FGD'!$K$73</f>
        <v>0</v>
      </c>
      <c r="L680" s="355">
        <f>'TAMHSC FGD'!$L$73</f>
        <v>0</v>
      </c>
      <c r="M680" s="357">
        <f>'TAMHSC FGD'!$M$73</f>
        <v>2052675</v>
      </c>
      <c r="O680" s="320"/>
    </row>
    <row r="681" spans="1:15" hidden="1" outlineLevel="1">
      <c r="B681" s="392" t="str">
        <f>'THC FGD'!$B$2</f>
        <v>The University of Texas Health Science Center at Tyler</v>
      </c>
      <c r="C681" s="161"/>
      <c r="D681" s="355">
        <f>'THC FGD'!$D$73</f>
        <v>0</v>
      </c>
      <c r="E681" s="355">
        <f>'THC FGD'!$E$73</f>
        <v>0</v>
      </c>
      <c r="F681" s="355">
        <f>'THC FGD'!$F$73</f>
        <v>0</v>
      </c>
      <c r="G681" s="355">
        <f>'THC FGD'!$G$73</f>
        <v>35175</v>
      </c>
      <c r="H681" s="355">
        <f>'THC FGD'!$H$73</f>
        <v>0</v>
      </c>
      <c r="I681" s="355">
        <f>'THC FGD'!$I$73</f>
        <v>0</v>
      </c>
      <c r="J681" s="355">
        <f>'THC FGD'!$J$73</f>
        <v>0</v>
      </c>
      <c r="K681" s="355">
        <f>'THC FGD'!$K$73</f>
        <v>0</v>
      </c>
      <c r="L681" s="355">
        <f>'THC FGD'!$L$73</f>
        <v>0</v>
      </c>
      <c r="M681" s="357">
        <f>'THC FGD'!$M$73</f>
        <v>35175</v>
      </c>
      <c r="O681" s="320"/>
    </row>
    <row r="682" spans="1:15" hidden="1" outlineLevel="1">
      <c r="B682" s="392" t="str">
        <f>'TTUHSC FGD'!$B$2</f>
        <v>Texas Tech University Health Sciences Center</v>
      </c>
      <c r="C682" s="161"/>
      <c r="D682" s="355">
        <f>'TTUHSC FGD'!$D$73</f>
        <v>0</v>
      </c>
      <c r="E682" s="355">
        <f>'TTUHSC FGD'!$E$73</f>
        <v>985906</v>
      </c>
      <c r="F682" s="355">
        <f>'TTUHSC FGD'!$F$73</f>
        <v>0</v>
      </c>
      <c r="G682" s="355">
        <f>'TTUHSC FGD'!$G$73</f>
        <v>2323079</v>
      </c>
      <c r="H682" s="355">
        <f>'TTUHSC FGD'!$H$73</f>
        <v>0</v>
      </c>
      <c r="I682" s="355">
        <f>'TTUHSC FGD'!$I$73</f>
        <v>0</v>
      </c>
      <c r="J682" s="355">
        <f>'TTUHSC FGD'!$J$73</f>
        <v>0</v>
      </c>
      <c r="K682" s="355">
        <f>'TTUHSC FGD'!$K$73</f>
        <v>0</v>
      </c>
      <c r="L682" s="355">
        <f>'TTUHSC FGD'!$L$73</f>
        <v>0</v>
      </c>
      <c r="M682" s="357">
        <f>'TTUHSC FGD'!$M$73</f>
        <v>3308985</v>
      </c>
      <c r="O682" s="320"/>
    </row>
    <row r="683" spans="1:15" hidden="1" outlineLevel="1">
      <c r="B683" s="392" t="str">
        <f>'TTUHSCEP FGD'!$B$2</f>
        <v>Texas Tech University Health Sciences Center at El Paso</v>
      </c>
      <c r="C683" s="161"/>
      <c r="D683" s="355">
        <f>'TTUHSCEP FGD'!$D$73</f>
        <v>0</v>
      </c>
      <c r="E683" s="355">
        <f>'TTUHSCEP FGD'!$E$73</f>
        <v>238455</v>
      </c>
      <c r="F683" s="355">
        <f>'TTUHSCEP FGD'!$F$73</f>
        <v>0</v>
      </c>
      <c r="G683" s="355">
        <f>'TTUHSCEP FGD'!$G$73</f>
        <v>475064</v>
      </c>
      <c r="H683" s="355">
        <f>'TTUHSCEP FGD'!$H$73</f>
        <v>0</v>
      </c>
      <c r="I683" s="355">
        <f>'TTUHSCEP FGD'!$I$73</f>
        <v>0</v>
      </c>
      <c r="J683" s="355">
        <f>'TTUHSCEP FGD'!$J$73</f>
        <v>0</v>
      </c>
      <c r="K683" s="355">
        <f>'TTUHSCEP FGD'!$K$73</f>
        <v>0</v>
      </c>
      <c r="L683" s="355">
        <f>'TTUHSCEP FGD'!$L$73</f>
        <v>0</v>
      </c>
      <c r="M683" s="357">
        <f>'TTUHSCEP FGD'!$M$73</f>
        <v>713519</v>
      </c>
      <c r="O683" s="320"/>
    </row>
    <row r="684" spans="1:15" hidden="1" outlineLevel="1">
      <c r="B684" s="392" t="str">
        <f>'UNTHSC FGD'!$B$2</f>
        <v>University of North Texas Health Science Center at Fort Worth</v>
      </c>
      <c r="C684" s="161"/>
      <c r="D684" s="355">
        <f>'UNTHSC FGD'!$D$73</f>
        <v>174063</v>
      </c>
      <c r="E684" s="355">
        <f>'UNTHSC FGD'!$E$73</f>
        <v>-36817</v>
      </c>
      <c r="F684" s="355">
        <f>'UNTHSC FGD'!$F$73</f>
        <v>0</v>
      </c>
      <c r="G684" s="355">
        <f>'UNTHSC FGD'!$G$73</f>
        <v>362868</v>
      </c>
      <c r="H684" s="355">
        <f>'UNTHSC FGD'!$H$73</f>
        <v>46393</v>
      </c>
      <c r="I684" s="355">
        <f>'UNTHSC FGD'!$I$73</f>
        <v>0</v>
      </c>
      <c r="J684" s="355">
        <f>'UNTHSC FGD'!$J$73</f>
        <v>0</v>
      </c>
      <c r="K684" s="355">
        <f>'UNTHSC FGD'!$K$73</f>
        <v>0</v>
      </c>
      <c r="L684" s="355">
        <f>'UNTHSC FGD'!$L$73</f>
        <v>0</v>
      </c>
      <c r="M684" s="357">
        <f>'UNTHSC FGD'!$M$73</f>
        <v>546507</v>
      </c>
      <c r="O684" s="320"/>
    </row>
    <row r="685" spans="1:15" collapsed="1">
      <c r="A685" s="147">
        <v>56</v>
      </c>
      <c r="B685" s="161" t="s">
        <v>21</v>
      </c>
      <c r="C685" s="161"/>
      <c r="D685" s="355">
        <f t="shared" ref="D685:M685" si="50">SUM(D673:D684)</f>
        <v>3496655</v>
      </c>
      <c r="E685" s="355">
        <f t="shared" si="50"/>
        <v>9188392</v>
      </c>
      <c r="F685" s="355">
        <f t="shared" si="50"/>
        <v>0</v>
      </c>
      <c r="G685" s="355">
        <f t="shared" si="50"/>
        <v>26019162</v>
      </c>
      <c r="H685" s="355">
        <f t="shared" si="50"/>
        <v>46393</v>
      </c>
      <c r="I685" s="355">
        <f t="shared" si="50"/>
        <v>0</v>
      </c>
      <c r="J685" s="355">
        <f t="shared" si="50"/>
        <v>0</v>
      </c>
      <c r="K685" s="355">
        <f t="shared" si="50"/>
        <v>0</v>
      </c>
      <c r="L685" s="355">
        <f t="shared" si="50"/>
        <v>0</v>
      </c>
      <c r="M685" s="357">
        <f t="shared" si="50"/>
        <v>38750602</v>
      </c>
      <c r="O685" s="320"/>
    </row>
    <row r="686" spans="1:15" hidden="1" outlineLevel="1">
      <c r="B686" s="392" t="str">
        <f>'AUSM FGD'!$B$2</f>
        <v>The University of Texas at Austin Medical School (M)</v>
      </c>
      <c r="C686" s="161"/>
      <c r="D686" s="355">
        <f>'AUSM FGD'!$D$74</f>
        <v>0</v>
      </c>
      <c r="E686" s="355">
        <f>'AUSM FGD'!$E$74</f>
        <v>0</v>
      </c>
      <c r="F686" s="355">
        <f>'AUSM FGD'!$F$74</f>
        <v>2596322</v>
      </c>
      <c r="G686" s="355">
        <f>'AUSM FGD'!$G$74</f>
        <v>0</v>
      </c>
      <c r="H686" s="355">
        <f>'AUSM FGD'!$H$74</f>
        <v>0</v>
      </c>
      <c r="I686" s="355">
        <f>'AUSM FGD'!$I$74</f>
        <v>0</v>
      </c>
      <c r="J686" s="355">
        <f>'AUSM FGD'!$J$74</f>
        <v>0</v>
      </c>
      <c r="K686" s="355">
        <f>'AUSM FGD'!$K$74</f>
        <v>0</v>
      </c>
      <c r="L686" s="355">
        <f>'AUSM FGD'!$L$74</f>
        <v>0</v>
      </c>
      <c r="M686" s="357">
        <f>'AUSM FGD'!$M$74</f>
        <v>2596322</v>
      </c>
      <c r="O686" s="320"/>
    </row>
    <row r="687" spans="1:15" hidden="1" outlineLevel="1">
      <c r="B687" s="392" t="str">
        <f>'HSH FGD'!$B$2</f>
        <v>The University of Texas Health Science Center at Houston</v>
      </c>
      <c r="C687" s="161"/>
      <c r="D687" s="355">
        <f>'HSH FGD'!$D$74</f>
        <v>0</v>
      </c>
      <c r="E687" s="355">
        <f>'HSH FGD'!$E$74</f>
        <v>0</v>
      </c>
      <c r="F687" s="355">
        <f>'HSH FGD'!$F$74</f>
        <v>17062069</v>
      </c>
      <c r="G687" s="355">
        <f>'HSH FGD'!$G$74</f>
        <v>0</v>
      </c>
      <c r="H687" s="355">
        <f>'HSH FGD'!$H$74</f>
        <v>0</v>
      </c>
      <c r="I687" s="355">
        <f>'HSH FGD'!$I$74</f>
        <v>0</v>
      </c>
      <c r="J687" s="355">
        <f>'HSH FGD'!$J$74</f>
        <v>0</v>
      </c>
      <c r="K687" s="355">
        <f>'HSH FGD'!$K$74</f>
        <v>0</v>
      </c>
      <c r="L687" s="355">
        <f>'HSH FGD'!$L$74</f>
        <v>0</v>
      </c>
      <c r="M687" s="357">
        <f>'HSH FGD'!$M$74</f>
        <v>17062069</v>
      </c>
      <c r="O687" s="320"/>
    </row>
    <row r="688" spans="1:15" hidden="1" outlineLevel="1">
      <c r="B688" s="392" t="str">
        <f>'HSSA FGD'!$B$2</f>
        <v>The University of Texas Health Science Center at San Antonio</v>
      </c>
      <c r="C688" s="161"/>
      <c r="D688" s="355">
        <f>'HSSA FGD'!$D$74</f>
        <v>0</v>
      </c>
      <c r="E688" s="355">
        <f>'HSSA FGD'!$E$74</f>
        <v>0</v>
      </c>
      <c r="F688" s="355">
        <f>'HSSA FGD'!$F$74</f>
        <v>5845168</v>
      </c>
      <c r="G688" s="355">
        <f>'HSSA FGD'!$G$74</f>
        <v>0</v>
      </c>
      <c r="H688" s="355">
        <f>'HSSA FGD'!$H$74</f>
        <v>0</v>
      </c>
      <c r="I688" s="355">
        <f>'HSSA FGD'!$I$74</f>
        <v>0</v>
      </c>
      <c r="J688" s="355">
        <f>'HSSA FGD'!$J$74</f>
        <v>0</v>
      </c>
      <c r="K688" s="355">
        <f>'HSSA FGD'!$K$74</f>
        <v>0</v>
      </c>
      <c r="L688" s="355">
        <f>'HSSA FGD'!$L$74</f>
        <v>0</v>
      </c>
      <c r="M688" s="357">
        <f>'HSSA FGD'!$M$74</f>
        <v>5845168</v>
      </c>
      <c r="O688" s="320"/>
    </row>
    <row r="689" spans="1:15" hidden="1" outlineLevel="1">
      <c r="B689" s="392" t="str">
        <f>'MBG FGD'!$B$2</f>
        <v>The University of Texas Medical Branch at Galveston</v>
      </c>
      <c r="C689" s="161"/>
      <c r="D689" s="355">
        <f>'MBG FGD'!$D$74</f>
        <v>0</v>
      </c>
      <c r="E689" s="355">
        <f>'MBG FGD'!$E$74</f>
        <v>225327</v>
      </c>
      <c r="F689" s="355">
        <f>'MBG FGD'!$F$74</f>
        <v>11353676</v>
      </c>
      <c r="G689" s="355">
        <f>'MBG FGD'!$G$74</f>
        <v>356902</v>
      </c>
      <c r="H689" s="355">
        <f>'MBG FGD'!$H$74</f>
        <v>0</v>
      </c>
      <c r="I689" s="355">
        <f>'MBG FGD'!$I$74</f>
        <v>0</v>
      </c>
      <c r="J689" s="355">
        <f>'MBG FGD'!$J$74</f>
        <v>0</v>
      </c>
      <c r="K689" s="355">
        <f>'MBG FGD'!$K$74</f>
        <v>0</v>
      </c>
      <c r="L689" s="355">
        <f>'MBG FGD'!$L$74</f>
        <v>0</v>
      </c>
      <c r="M689" s="357">
        <f>'MBG FGD'!$M$74</f>
        <v>11935905</v>
      </c>
      <c r="O689" s="320"/>
    </row>
    <row r="690" spans="1:15" hidden="1" outlineLevel="1">
      <c r="B690" s="392" t="str">
        <f>'MDA FGD'!$B$2</f>
        <v>The University of Texas M.D. Anderson Cancer Center</v>
      </c>
      <c r="C690" s="161"/>
      <c r="D690" s="355">
        <f>'MDA FGD'!$D$74</f>
        <v>0</v>
      </c>
      <c r="E690" s="355">
        <f>'MDA FGD'!$E$74</f>
        <v>0</v>
      </c>
      <c r="F690" s="355">
        <f>'MDA FGD'!$F$74</f>
        <v>22631517</v>
      </c>
      <c r="G690" s="355">
        <f>'MDA FGD'!$G$74</f>
        <v>0</v>
      </c>
      <c r="H690" s="355">
        <f>'MDA FGD'!$H$74</f>
        <v>0</v>
      </c>
      <c r="I690" s="355">
        <f>'MDA FGD'!$I$74</f>
        <v>0</v>
      </c>
      <c r="J690" s="355">
        <f>'MDA FGD'!$J$74</f>
        <v>0</v>
      </c>
      <c r="K690" s="355">
        <f>'MDA FGD'!$K$74</f>
        <v>0</v>
      </c>
      <c r="L690" s="355">
        <f>'MDA FGD'!$L$74</f>
        <v>0</v>
      </c>
      <c r="M690" s="357">
        <f>'MDA FGD'!$M$74</f>
        <v>22631517</v>
      </c>
      <c r="O690" s="320"/>
    </row>
    <row r="691" spans="1:15" hidden="1" outlineLevel="1">
      <c r="B691" s="392" t="str">
        <f>'RGVM FGD'!$B$2</f>
        <v>The University of Texas Rio Grande Valley Medical School (M)</v>
      </c>
      <c r="C691" s="161"/>
      <c r="D691" s="355">
        <f>'RGVM FGD'!$D$74</f>
        <v>0</v>
      </c>
      <c r="E691" s="355">
        <f>'RGVM FGD'!$E$74</f>
        <v>0</v>
      </c>
      <c r="F691" s="355">
        <f>'RGVM FGD'!$F$74</f>
        <v>0</v>
      </c>
      <c r="G691" s="355">
        <f>'RGVM FGD'!$G$74</f>
        <v>0</v>
      </c>
      <c r="H691" s="355">
        <f>'RGVM FGD'!$H$74</f>
        <v>0</v>
      </c>
      <c r="I691" s="355">
        <f>'RGVM FGD'!$I$74</f>
        <v>0</v>
      </c>
      <c r="J691" s="355">
        <f>'RGVM FGD'!$J$74</f>
        <v>0</v>
      </c>
      <c r="K691" s="355">
        <f>'RGVM FGD'!$K$74</f>
        <v>0</v>
      </c>
      <c r="L691" s="355">
        <f>'RGVM FGD'!$L$74</f>
        <v>0</v>
      </c>
      <c r="M691" s="357">
        <f>'RGVM FGD'!$M$74</f>
        <v>0</v>
      </c>
      <c r="O691" s="320"/>
    </row>
    <row r="692" spans="1:15" hidden="1" outlineLevel="1">
      <c r="B692" s="392" t="str">
        <f>'SWM FGD'!$B$2</f>
        <v>The University of Texas Southwestern Medical Center</v>
      </c>
      <c r="C692" s="161"/>
      <c r="D692" s="355">
        <f>'SWM FGD'!$D$74</f>
        <v>0</v>
      </c>
      <c r="E692" s="355">
        <f>'SWM FGD'!$E$74</f>
        <v>27454</v>
      </c>
      <c r="F692" s="355">
        <f>'SWM FGD'!$F$74</f>
        <v>24039289</v>
      </c>
      <c r="G692" s="355">
        <f>'SWM FGD'!$G$74</f>
        <v>0</v>
      </c>
      <c r="H692" s="355">
        <f>'SWM FGD'!$H$74</f>
        <v>0</v>
      </c>
      <c r="I692" s="355">
        <f>'SWM FGD'!$I$74</f>
        <v>0</v>
      </c>
      <c r="J692" s="355">
        <f>'SWM FGD'!$J$74</f>
        <v>0</v>
      </c>
      <c r="K692" s="355">
        <f>'SWM FGD'!$K$74</f>
        <v>0</v>
      </c>
      <c r="L692" s="355">
        <f>'SWM FGD'!$L$74</f>
        <v>0</v>
      </c>
      <c r="M692" s="357">
        <f>'SWM FGD'!$M$74</f>
        <v>24066743</v>
      </c>
      <c r="O692" s="320"/>
    </row>
    <row r="693" spans="1:15" hidden="1" outlineLevel="1">
      <c r="B693" s="392" t="str">
        <f>'TAMHSC FGD'!$B$2</f>
        <v>Texas A&amp;M University System Health Science Center</v>
      </c>
      <c r="C693" s="161"/>
      <c r="D693" s="355">
        <f>'TAMHSC FGD'!$D$74</f>
        <v>0</v>
      </c>
      <c r="E693" s="355">
        <f>'TAMHSC FGD'!$E$74</f>
        <v>0</v>
      </c>
      <c r="F693" s="355">
        <f>'TAMHSC FGD'!$F$74</f>
        <v>2615622</v>
      </c>
      <c r="G693" s="355">
        <f>'TAMHSC FGD'!$G$74</f>
        <v>0</v>
      </c>
      <c r="H693" s="355">
        <f>'TAMHSC FGD'!$H$74</f>
        <v>0</v>
      </c>
      <c r="I693" s="355">
        <f>'TAMHSC FGD'!$I$74</f>
        <v>0</v>
      </c>
      <c r="J693" s="355">
        <f>'TAMHSC FGD'!$J$74</f>
        <v>0</v>
      </c>
      <c r="K693" s="355">
        <f>'TAMHSC FGD'!$K$74</f>
        <v>0</v>
      </c>
      <c r="L693" s="355">
        <f>'TAMHSC FGD'!$L$74</f>
        <v>0</v>
      </c>
      <c r="M693" s="357">
        <f>'TAMHSC FGD'!$M$74</f>
        <v>2615622</v>
      </c>
      <c r="O693" s="320"/>
    </row>
    <row r="694" spans="1:15" hidden="1" outlineLevel="1">
      <c r="B694" s="392" t="str">
        <f>'THC FGD'!$B$2</f>
        <v>The University of Texas Health Science Center at Tyler</v>
      </c>
      <c r="C694" s="161"/>
      <c r="D694" s="355">
        <f>'THC FGD'!$D$74</f>
        <v>0</v>
      </c>
      <c r="E694" s="355">
        <f>'THC FGD'!$E$74</f>
        <v>0</v>
      </c>
      <c r="F694" s="355">
        <f>'THC FGD'!$F$74</f>
        <v>144548</v>
      </c>
      <c r="G694" s="355">
        <f>'THC FGD'!$G$74</f>
        <v>0</v>
      </c>
      <c r="H694" s="355">
        <f>'THC FGD'!$H$74</f>
        <v>0</v>
      </c>
      <c r="I694" s="355">
        <f>'THC FGD'!$I$74</f>
        <v>0</v>
      </c>
      <c r="J694" s="355">
        <f>'THC FGD'!$J$74</f>
        <v>0</v>
      </c>
      <c r="K694" s="355">
        <f>'THC FGD'!$K$74</f>
        <v>0</v>
      </c>
      <c r="L694" s="355">
        <f>'THC FGD'!$L$74</f>
        <v>0</v>
      </c>
      <c r="M694" s="357">
        <f>'THC FGD'!$M$74</f>
        <v>144548</v>
      </c>
      <c r="O694" s="320"/>
    </row>
    <row r="695" spans="1:15" hidden="1" outlineLevel="1">
      <c r="B695" s="392" t="str">
        <f>'TTUHSC FGD'!$B$2</f>
        <v>Texas Tech University Health Sciences Center</v>
      </c>
      <c r="C695" s="161"/>
      <c r="D695" s="355">
        <f>'TTUHSC FGD'!$D$74</f>
        <v>0</v>
      </c>
      <c r="E695" s="355">
        <f>'TTUHSC FGD'!$E$74</f>
        <v>0</v>
      </c>
      <c r="F695" s="355">
        <f>'TTUHSC FGD'!$F$74</f>
        <v>456145</v>
      </c>
      <c r="G695" s="355">
        <f>'TTUHSC FGD'!$G$74</f>
        <v>0</v>
      </c>
      <c r="H695" s="355">
        <f>'TTUHSC FGD'!$H$74</f>
        <v>0</v>
      </c>
      <c r="I695" s="355">
        <f>'TTUHSC FGD'!$I$74</f>
        <v>0</v>
      </c>
      <c r="J695" s="355">
        <f>'TTUHSC FGD'!$J$74</f>
        <v>0</v>
      </c>
      <c r="K695" s="355">
        <f>'TTUHSC FGD'!$K$74</f>
        <v>0</v>
      </c>
      <c r="L695" s="355">
        <f>'TTUHSC FGD'!$L$74</f>
        <v>0</v>
      </c>
      <c r="M695" s="357">
        <f>'TTUHSC FGD'!$M$74</f>
        <v>456145</v>
      </c>
      <c r="O695" s="320"/>
    </row>
    <row r="696" spans="1:15" hidden="1" outlineLevel="1">
      <c r="B696" s="392" t="str">
        <f>'TTUHSCEP FGD'!$B$2</f>
        <v>Texas Tech University Health Sciences Center at El Paso</v>
      </c>
      <c r="C696" s="161"/>
      <c r="D696" s="355">
        <f>'TTUHSCEP FGD'!$D$74</f>
        <v>0</v>
      </c>
      <c r="E696" s="355">
        <f>'TTUHSCEP FGD'!$E$74</f>
        <v>0</v>
      </c>
      <c r="F696" s="355">
        <f>'TTUHSCEP FGD'!$F$74</f>
        <v>216044</v>
      </c>
      <c r="G696" s="355">
        <f>'TTUHSCEP FGD'!$G$74</f>
        <v>0</v>
      </c>
      <c r="H696" s="355">
        <f>'TTUHSCEP FGD'!$H$74</f>
        <v>0</v>
      </c>
      <c r="I696" s="355">
        <f>'TTUHSCEP FGD'!$I$74</f>
        <v>0</v>
      </c>
      <c r="J696" s="355">
        <f>'TTUHSCEP FGD'!$J$74</f>
        <v>0</v>
      </c>
      <c r="K696" s="355">
        <f>'TTUHSCEP FGD'!$K$74</f>
        <v>0</v>
      </c>
      <c r="L696" s="355">
        <f>'TTUHSCEP FGD'!$L$74</f>
        <v>0</v>
      </c>
      <c r="M696" s="357">
        <f>'TTUHSCEP FGD'!$M$74</f>
        <v>216044</v>
      </c>
      <c r="O696" s="320"/>
    </row>
    <row r="697" spans="1:15" hidden="1" outlineLevel="1">
      <c r="B697" s="392" t="str">
        <f>'UNTHSC FGD'!$B$2</f>
        <v>University of North Texas Health Science Center at Fort Worth</v>
      </c>
      <c r="C697" s="161"/>
      <c r="D697" s="355">
        <f>'UNTHSC FGD'!$D$74</f>
        <v>0</v>
      </c>
      <c r="E697" s="355">
        <f>'UNTHSC FGD'!$E$74</f>
        <v>0</v>
      </c>
      <c r="F697" s="355">
        <f>'UNTHSC FGD'!$F$74</f>
        <v>484952</v>
      </c>
      <c r="G697" s="355">
        <f>'UNTHSC FGD'!$G$74</f>
        <v>0</v>
      </c>
      <c r="H697" s="355">
        <f>'UNTHSC FGD'!$H$74</f>
        <v>0</v>
      </c>
      <c r="I697" s="355">
        <f>'UNTHSC FGD'!$I$74</f>
        <v>0</v>
      </c>
      <c r="J697" s="355">
        <f>'UNTHSC FGD'!$J$74</f>
        <v>0</v>
      </c>
      <c r="K697" s="355">
        <f>'UNTHSC FGD'!$K$74</f>
        <v>0</v>
      </c>
      <c r="L697" s="355">
        <f>'UNTHSC FGD'!$L$74</f>
        <v>0</v>
      </c>
      <c r="M697" s="357">
        <f>'UNTHSC FGD'!$M$74</f>
        <v>484952</v>
      </c>
      <c r="O697" s="320"/>
    </row>
    <row r="698" spans="1:15" collapsed="1">
      <c r="A698" s="147">
        <v>57</v>
      </c>
      <c r="B698" s="392" t="s">
        <v>1363</v>
      </c>
      <c r="C698" s="161"/>
      <c r="D698" s="355">
        <f t="shared" ref="D698:M698" si="51">SUM(D686:D697)</f>
        <v>0</v>
      </c>
      <c r="E698" s="355">
        <f t="shared" si="51"/>
        <v>252781</v>
      </c>
      <c r="F698" s="355">
        <f t="shared" si="51"/>
        <v>87445352</v>
      </c>
      <c r="G698" s="355">
        <f t="shared" si="51"/>
        <v>356902</v>
      </c>
      <c r="H698" s="355">
        <f t="shared" si="51"/>
        <v>0</v>
      </c>
      <c r="I698" s="355">
        <f t="shared" si="51"/>
        <v>0</v>
      </c>
      <c r="J698" s="355">
        <f t="shared" si="51"/>
        <v>0</v>
      </c>
      <c r="K698" s="355">
        <f t="shared" si="51"/>
        <v>0</v>
      </c>
      <c r="L698" s="355">
        <f t="shared" si="51"/>
        <v>0</v>
      </c>
      <c r="M698" s="357">
        <f t="shared" si="51"/>
        <v>88055035</v>
      </c>
      <c r="O698" s="320"/>
    </row>
    <row r="699" spans="1:15" hidden="1" outlineLevel="1">
      <c r="B699" s="392" t="str">
        <f>'AUSM FGD'!$B$2</f>
        <v>The University of Texas at Austin Medical School (M)</v>
      </c>
      <c r="C699" s="161"/>
      <c r="D699" s="355">
        <f>'AUSM FGD'!$D$75</f>
        <v>813120</v>
      </c>
      <c r="E699" s="355">
        <f>'AUSM FGD'!$E$75</f>
        <v>8505</v>
      </c>
      <c r="F699" s="355">
        <f>'AUSM FGD'!$F$75</f>
        <v>0</v>
      </c>
      <c r="G699" s="355">
        <f>'AUSM FGD'!$G$75</f>
        <v>568591</v>
      </c>
      <c r="H699" s="355">
        <f>'AUSM FGD'!$H$75</f>
        <v>0</v>
      </c>
      <c r="I699" s="355">
        <f>'AUSM FGD'!$I$75</f>
        <v>0</v>
      </c>
      <c r="J699" s="355">
        <f>'AUSM FGD'!$J$75</f>
        <v>0</v>
      </c>
      <c r="K699" s="355">
        <f>'AUSM FGD'!$K$75</f>
        <v>0</v>
      </c>
      <c r="L699" s="355">
        <f>'AUSM FGD'!$L$75</f>
        <v>0</v>
      </c>
      <c r="M699" s="357">
        <f>'AUSM FGD'!$M$75</f>
        <v>1390216</v>
      </c>
      <c r="O699" s="320"/>
    </row>
    <row r="700" spans="1:15" hidden="1" outlineLevel="1">
      <c r="B700" s="392" t="str">
        <f>'HSH FGD'!$B$2</f>
        <v>The University of Texas Health Science Center at Houston</v>
      </c>
      <c r="C700" s="161"/>
      <c r="D700" s="355">
        <f>'HSH FGD'!$D$75</f>
        <v>118674</v>
      </c>
      <c r="E700" s="355">
        <f>'HSH FGD'!$E$75</f>
        <v>11356789</v>
      </c>
      <c r="F700" s="355">
        <f>'HSH FGD'!$F$75</f>
        <v>82625</v>
      </c>
      <c r="G700" s="355">
        <f>'HSH FGD'!$G$75</f>
        <v>2506578</v>
      </c>
      <c r="H700" s="355">
        <f>'HSH FGD'!$H$75</f>
        <v>0</v>
      </c>
      <c r="I700" s="355">
        <f>'HSH FGD'!$I$75</f>
        <v>0</v>
      </c>
      <c r="J700" s="355">
        <f>'HSH FGD'!$J$75</f>
        <v>0</v>
      </c>
      <c r="K700" s="355">
        <f>'HSH FGD'!$K$75</f>
        <v>0</v>
      </c>
      <c r="L700" s="355">
        <f>'HSH FGD'!$L$75</f>
        <v>0</v>
      </c>
      <c r="M700" s="357">
        <f>'HSH FGD'!$M$75</f>
        <v>14064666</v>
      </c>
      <c r="O700" s="320"/>
    </row>
    <row r="701" spans="1:15" hidden="1" outlineLevel="1">
      <c r="B701" s="392" t="str">
        <f>'HSSA FGD'!$B$2</f>
        <v>The University of Texas Health Science Center at San Antonio</v>
      </c>
      <c r="C701" s="161"/>
      <c r="D701" s="355">
        <f>'HSSA FGD'!$D$75</f>
        <v>808718</v>
      </c>
      <c r="E701" s="355">
        <f>'HSSA FGD'!$E$75</f>
        <v>16053027</v>
      </c>
      <c r="F701" s="355">
        <f>'HSSA FGD'!$F$75</f>
        <v>592091</v>
      </c>
      <c r="G701" s="355">
        <f>'HSSA FGD'!$G$75</f>
        <v>10781723</v>
      </c>
      <c r="H701" s="355">
        <f>'HSSA FGD'!$H$75</f>
        <v>0</v>
      </c>
      <c r="I701" s="355">
        <f>'HSSA FGD'!$I$75</f>
        <v>0</v>
      </c>
      <c r="J701" s="355">
        <f>'HSSA FGD'!$J$75</f>
        <v>0</v>
      </c>
      <c r="K701" s="355">
        <f>'HSSA FGD'!$K$75</f>
        <v>0</v>
      </c>
      <c r="L701" s="355">
        <f>'HSSA FGD'!$L$75</f>
        <v>0</v>
      </c>
      <c r="M701" s="357">
        <f>'HSSA FGD'!$M$75</f>
        <v>28235559</v>
      </c>
      <c r="O701" s="320"/>
    </row>
    <row r="702" spans="1:15" hidden="1" outlineLevel="1">
      <c r="B702" s="392" t="str">
        <f>'MBG FGD'!$B$2</f>
        <v>The University of Texas Medical Branch at Galveston</v>
      </c>
      <c r="C702" s="161"/>
      <c r="D702" s="355">
        <f>'MBG FGD'!$D$75</f>
        <v>5903138</v>
      </c>
      <c r="E702" s="355">
        <f>'MBG FGD'!$E$75</f>
        <v>8330591</v>
      </c>
      <c r="F702" s="355">
        <f>'MBG FGD'!$F$75</f>
        <v>0</v>
      </c>
      <c r="G702" s="355">
        <f>'MBG FGD'!$G$75</f>
        <v>4407737</v>
      </c>
      <c r="H702" s="355">
        <f>'MBG FGD'!$H$75</f>
        <v>0</v>
      </c>
      <c r="I702" s="355">
        <f>'MBG FGD'!$I$75</f>
        <v>0</v>
      </c>
      <c r="J702" s="355">
        <f>'MBG FGD'!$J$75</f>
        <v>0</v>
      </c>
      <c r="K702" s="355">
        <f>'MBG FGD'!$K$75</f>
        <v>0</v>
      </c>
      <c r="L702" s="355">
        <f>'MBG FGD'!$L$75</f>
        <v>0</v>
      </c>
      <c r="M702" s="357">
        <f>'MBG FGD'!$M$75</f>
        <v>18641466</v>
      </c>
      <c r="O702" s="320"/>
    </row>
    <row r="703" spans="1:15" hidden="1" outlineLevel="1">
      <c r="B703" s="392" t="str">
        <f>'MDA FGD'!$B$2</f>
        <v>The University of Texas M.D. Anderson Cancer Center</v>
      </c>
      <c r="C703" s="161"/>
      <c r="D703" s="355">
        <f>'MDA FGD'!$D$75</f>
        <v>55984277</v>
      </c>
      <c r="E703" s="355">
        <f>'MDA FGD'!$E$75</f>
        <v>16676924</v>
      </c>
      <c r="F703" s="355">
        <f>'MDA FGD'!$F$75</f>
        <v>304227</v>
      </c>
      <c r="G703" s="355">
        <f>'MDA FGD'!$G$75</f>
        <v>8893775</v>
      </c>
      <c r="H703" s="355">
        <f>'MDA FGD'!$H$75</f>
        <v>0</v>
      </c>
      <c r="I703" s="355">
        <f>'MDA FGD'!$I$75</f>
        <v>0</v>
      </c>
      <c r="J703" s="355">
        <f>'MDA FGD'!$J$75</f>
        <v>0</v>
      </c>
      <c r="K703" s="355">
        <f>'MDA FGD'!$K$75</f>
        <v>0</v>
      </c>
      <c r="L703" s="355">
        <f>'MDA FGD'!$L$75</f>
        <v>0</v>
      </c>
      <c r="M703" s="357">
        <f>'MDA FGD'!$M$75</f>
        <v>81859203</v>
      </c>
      <c r="O703" s="320"/>
    </row>
    <row r="704" spans="1:15" hidden="1" outlineLevel="1">
      <c r="B704" s="392" t="str">
        <f>'RGVM FGD'!$B$2</f>
        <v>The University of Texas Rio Grande Valley Medical School (M)</v>
      </c>
      <c r="C704" s="161"/>
      <c r="D704" s="355">
        <f>'RGVM FGD'!$D$75</f>
        <v>132992</v>
      </c>
      <c r="E704" s="355">
        <f>'RGVM FGD'!$E$75</f>
        <v>236995</v>
      </c>
      <c r="F704" s="355">
        <f>'RGVM FGD'!$F$75</f>
        <v>0</v>
      </c>
      <c r="G704" s="355">
        <f>'RGVM FGD'!$G$75</f>
        <v>182593</v>
      </c>
      <c r="H704" s="355">
        <f>'RGVM FGD'!$H$75</f>
        <v>0</v>
      </c>
      <c r="I704" s="355">
        <f>'RGVM FGD'!$I$75</f>
        <v>0</v>
      </c>
      <c r="J704" s="355">
        <f>'RGVM FGD'!$J$75</f>
        <v>0</v>
      </c>
      <c r="K704" s="355">
        <f>'RGVM FGD'!$K$75</f>
        <v>0</v>
      </c>
      <c r="L704" s="355">
        <f>'RGVM FGD'!$L$75</f>
        <v>0</v>
      </c>
      <c r="M704" s="357">
        <f>'RGVM FGD'!$M$75</f>
        <v>552580</v>
      </c>
      <c r="O704" s="320"/>
    </row>
    <row r="705" spans="1:15" hidden="1" outlineLevel="1">
      <c r="B705" s="392" t="str">
        <f>'SWM FGD'!$B$2</f>
        <v>The University of Texas Southwestern Medical Center</v>
      </c>
      <c r="C705" s="161"/>
      <c r="D705" s="355">
        <f>'SWM FGD'!$D$75</f>
        <v>0</v>
      </c>
      <c r="E705" s="355">
        <f>'SWM FGD'!$E$75</f>
        <v>6461032</v>
      </c>
      <c r="F705" s="355">
        <f>'SWM FGD'!$F$75</f>
        <v>13510</v>
      </c>
      <c r="G705" s="355">
        <f>'SWM FGD'!$G$75</f>
        <v>7969115</v>
      </c>
      <c r="H705" s="355">
        <f>'SWM FGD'!$H$75</f>
        <v>0</v>
      </c>
      <c r="I705" s="355">
        <f>'SWM FGD'!$I$75</f>
        <v>0</v>
      </c>
      <c r="J705" s="355">
        <f>'SWM FGD'!$J$75</f>
        <v>0</v>
      </c>
      <c r="K705" s="355">
        <f>'SWM FGD'!$K$75</f>
        <v>0</v>
      </c>
      <c r="L705" s="355">
        <f>'SWM FGD'!$L$75</f>
        <v>0</v>
      </c>
      <c r="M705" s="357">
        <f>'SWM FGD'!$M$75</f>
        <v>14443657</v>
      </c>
      <c r="O705" s="320"/>
    </row>
    <row r="706" spans="1:15" hidden="1" outlineLevel="1">
      <c r="B706" s="392" t="str">
        <f>'TAMHSC FGD'!$B$2</f>
        <v>Texas A&amp;M University System Health Science Center</v>
      </c>
      <c r="C706" s="161"/>
      <c r="D706" s="355">
        <f>'TAMHSC FGD'!$D$75</f>
        <v>532683</v>
      </c>
      <c r="E706" s="355">
        <f>'TAMHSC FGD'!$E$75</f>
        <v>2583751</v>
      </c>
      <c r="F706" s="355">
        <f>'TAMHSC FGD'!$F$75</f>
        <v>277401</v>
      </c>
      <c r="G706" s="355">
        <f>'TAMHSC FGD'!$G$75</f>
        <v>370301</v>
      </c>
      <c r="H706" s="355">
        <f>'TAMHSC FGD'!$H$75</f>
        <v>0</v>
      </c>
      <c r="I706" s="355">
        <f>'TAMHSC FGD'!$I$75</f>
        <v>0</v>
      </c>
      <c r="J706" s="355">
        <f>'TAMHSC FGD'!$J$75</f>
        <v>0</v>
      </c>
      <c r="K706" s="355">
        <f>'TAMHSC FGD'!$K$75</f>
        <v>0</v>
      </c>
      <c r="L706" s="355">
        <f>'TAMHSC FGD'!$L$75</f>
        <v>0</v>
      </c>
      <c r="M706" s="357">
        <f>'TAMHSC FGD'!$M$75</f>
        <v>3764136</v>
      </c>
      <c r="O706" s="320"/>
    </row>
    <row r="707" spans="1:15" hidden="1" outlineLevel="1">
      <c r="B707" s="392" t="str">
        <f>'THC FGD'!$B$2</f>
        <v>The University of Texas Health Science Center at Tyler</v>
      </c>
      <c r="C707" s="161"/>
      <c r="D707" s="355">
        <f>'THC FGD'!$D$75</f>
        <v>924832</v>
      </c>
      <c r="E707" s="355">
        <f>'THC FGD'!$E$75</f>
        <v>68744</v>
      </c>
      <c r="F707" s="355">
        <f>'THC FGD'!$F$75</f>
        <v>0</v>
      </c>
      <c r="G707" s="355">
        <f>'THC FGD'!$G$75</f>
        <v>349948</v>
      </c>
      <c r="H707" s="355">
        <f>'THC FGD'!$H$75</f>
        <v>0</v>
      </c>
      <c r="I707" s="355">
        <f>'THC FGD'!$I$75</f>
        <v>0</v>
      </c>
      <c r="J707" s="355">
        <f>'THC FGD'!$J$75</f>
        <v>0</v>
      </c>
      <c r="K707" s="355">
        <f>'THC FGD'!$K$75</f>
        <v>0</v>
      </c>
      <c r="L707" s="355">
        <f>'THC FGD'!$L$75</f>
        <v>0</v>
      </c>
      <c r="M707" s="357">
        <f>'THC FGD'!$M$75</f>
        <v>1343524</v>
      </c>
      <c r="O707" s="320"/>
    </row>
    <row r="708" spans="1:15" hidden="1" outlineLevel="1">
      <c r="B708" s="392" t="str">
        <f>'TTUHSC FGD'!$B$2</f>
        <v>Texas Tech University Health Sciences Center</v>
      </c>
      <c r="C708" s="161"/>
      <c r="D708" s="355">
        <f>'TTUHSC FGD'!$D$75</f>
        <v>1337272</v>
      </c>
      <c r="E708" s="355">
        <f>'TTUHSC FGD'!$E$75</f>
        <v>2126524</v>
      </c>
      <c r="F708" s="355">
        <f>'TTUHSC FGD'!$F$75</f>
        <v>0</v>
      </c>
      <c r="G708" s="355">
        <f>'TTUHSC FGD'!$G$75</f>
        <v>587186</v>
      </c>
      <c r="H708" s="355">
        <f>'TTUHSC FGD'!$H$75</f>
        <v>0</v>
      </c>
      <c r="I708" s="355">
        <f>'TTUHSC FGD'!$I$75</f>
        <v>0</v>
      </c>
      <c r="J708" s="355">
        <f>'TTUHSC FGD'!$J$75</f>
        <v>0</v>
      </c>
      <c r="K708" s="355">
        <f>'TTUHSC FGD'!$K$75</f>
        <v>0</v>
      </c>
      <c r="L708" s="355">
        <f>'TTUHSC FGD'!$L$75</f>
        <v>0</v>
      </c>
      <c r="M708" s="357">
        <f>'TTUHSC FGD'!$M$75</f>
        <v>4050982</v>
      </c>
      <c r="O708" s="320"/>
    </row>
    <row r="709" spans="1:15" hidden="1" outlineLevel="1">
      <c r="B709" s="392" t="str">
        <f>'TTUHSCEP FGD'!$B$2</f>
        <v>Texas Tech University Health Sciences Center at El Paso</v>
      </c>
      <c r="C709" s="161"/>
      <c r="D709" s="355">
        <f>'TTUHSCEP FGD'!$D$75</f>
        <v>743788</v>
      </c>
      <c r="E709" s="355">
        <f>'TTUHSCEP FGD'!$E$75</f>
        <v>683596</v>
      </c>
      <c r="F709" s="355">
        <f>'TTUHSCEP FGD'!$F$75</f>
        <v>0</v>
      </c>
      <c r="G709" s="355">
        <f>'TTUHSCEP FGD'!$G$75</f>
        <v>87685</v>
      </c>
      <c r="H709" s="355">
        <f>'TTUHSCEP FGD'!$H$75</f>
        <v>0</v>
      </c>
      <c r="I709" s="355">
        <f>'TTUHSCEP FGD'!$I$75</f>
        <v>0</v>
      </c>
      <c r="J709" s="355">
        <f>'TTUHSCEP FGD'!$J$75</f>
        <v>0</v>
      </c>
      <c r="K709" s="355">
        <f>'TTUHSCEP FGD'!$K$75</f>
        <v>0</v>
      </c>
      <c r="L709" s="355">
        <f>'TTUHSCEP FGD'!$L$75</f>
        <v>0</v>
      </c>
      <c r="M709" s="357">
        <f>'TTUHSCEP FGD'!$M$75</f>
        <v>1515069</v>
      </c>
      <c r="O709" s="320"/>
    </row>
    <row r="710" spans="1:15" hidden="1" outlineLevel="1">
      <c r="B710" s="392" t="str">
        <f>'UNTHSC FGD'!$B$2</f>
        <v>University of North Texas Health Science Center at Fort Worth</v>
      </c>
      <c r="C710" s="161"/>
      <c r="D710" s="355">
        <f>'UNTHSC FGD'!$D$75</f>
        <v>5127641</v>
      </c>
      <c r="E710" s="355">
        <f>'UNTHSC FGD'!$E$75</f>
        <v>312818</v>
      </c>
      <c r="F710" s="355">
        <f>'UNTHSC FGD'!$F$75</f>
        <v>413540</v>
      </c>
      <c r="G710" s="355">
        <f>'UNTHSC FGD'!$G$75</f>
        <v>0</v>
      </c>
      <c r="H710" s="355">
        <f>'UNTHSC FGD'!$H$75</f>
        <v>0</v>
      </c>
      <c r="I710" s="355">
        <f>'UNTHSC FGD'!$I$75</f>
        <v>0</v>
      </c>
      <c r="J710" s="355">
        <f>'UNTHSC FGD'!$J$75</f>
        <v>0</v>
      </c>
      <c r="K710" s="355">
        <f>'UNTHSC FGD'!$K$75</f>
        <v>0</v>
      </c>
      <c r="L710" s="355">
        <f>'UNTHSC FGD'!$L$75</f>
        <v>0</v>
      </c>
      <c r="M710" s="357">
        <f>'UNTHSC FGD'!$M$75</f>
        <v>5853999</v>
      </c>
      <c r="O710" s="320"/>
    </row>
    <row r="711" spans="1:15" collapsed="1">
      <c r="A711" s="147">
        <v>58</v>
      </c>
      <c r="B711" s="162" t="s">
        <v>62</v>
      </c>
      <c r="C711" s="162"/>
      <c r="D711" s="355">
        <f t="shared" ref="D711:M711" si="52">SUM(D699:D710)</f>
        <v>72427135</v>
      </c>
      <c r="E711" s="355">
        <f t="shared" si="52"/>
        <v>64899296</v>
      </c>
      <c r="F711" s="355">
        <f t="shared" si="52"/>
        <v>1683394</v>
      </c>
      <c r="G711" s="355">
        <f t="shared" si="52"/>
        <v>36705232</v>
      </c>
      <c r="H711" s="355">
        <f t="shared" si="52"/>
        <v>0</v>
      </c>
      <c r="I711" s="355">
        <f t="shared" si="52"/>
        <v>0</v>
      </c>
      <c r="J711" s="355">
        <f t="shared" si="52"/>
        <v>0</v>
      </c>
      <c r="K711" s="355">
        <f t="shared" si="52"/>
        <v>0</v>
      </c>
      <c r="L711" s="355">
        <f t="shared" si="52"/>
        <v>0</v>
      </c>
      <c r="M711" s="357">
        <f t="shared" si="52"/>
        <v>175715057</v>
      </c>
      <c r="O711" s="332"/>
    </row>
    <row r="712" spans="1:15" hidden="1" outlineLevel="1">
      <c r="B712" s="392" t="str">
        <f>'AUSM FGD'!$B$2</f>
        <v>The University of Texas at Austin Medical School (M)</v>
      </c>
      <c r="C712" s="162"/>
      <c r="D712" s="355">
        <f>'AUSM FGD'!$D$76</f>
        <v>0</v>
      </c>
      <c r="E712" s="355">
        <f>'AUSM FGD'!$E$76</f>
        <v>0</v>
      </c>
      <c r="F712" s="355">
        <f>'AUSM FGD'!$F$76</f>
        <v>0</v>
      </c>
      <c r="G712" s="355">
        <f>'AUSM FGD'!$G$76</f>
        <v>0</v>
      </c>
      <c r="H712" s="355">
        <f>'AUSM FGD'!$H$76</f>
        <v>0</v>
      </c>
      <c r="I712" s="355">
        <f>'AUSM FGD'!$I$76</f>
        <v>0</v>
      </c>
      <c r="J712" s="355">
        <f>'AUSM FGD'!$J$76</f>
        <v>0</v>
      </c>
      <c r="K712" s="355">
        <f>'AUSM FGD'!$K$76</f>
        <v>0</v>
      </c>
      <c r="L712" s="355">
        <f>'AUSM FGD'!$L$76</f>
        <v>0</v>
      </c>
      <c r="M712" s="357">
        <f>'AUSM FGD'!$M$76</f>
        <v>0</v>
      </c>
      <c r="O712" s="332"/>
    </row>
    <row r="713" spans="1:15" hidden="1" outlineLevel="1">
      <c r="B713" s="392" t="str">
        <f>'HSH FGD'!$B$2</f>
        <v>The University of Texas Health Science Center at Houston</v>
      </c>
      <c r="C713" s="162"/>
      <c r="D713" s="355">
        <f>'HSH FGD'!$D$76</f>
        <v>0</v>
      </c>
      <c r="E713" s="355">
        <f>'HSH FGD'!$E$76</f>
        <v>0</v>
      </c>
      <c r="F713" s="355">
        <f>'HSH FGD'!$F$76</f>
        <v>0</v>
      </c>
      <c r="G713" s="355">
        <f>'HSH FGD'!$G$76</f>
        <v>0</v>
      </c>
      <c r="H713" s="355">
        <f>'HSH FGD'!$H$76</f>
        <v>2951837</v>
      </c>
      <c r="I713" s="355">
        <f>'HSH FGD'!$I$76</f>
        <v>0</v>
      </c>
      <c r="J713" s="355">
        <f>'HSH FGD'!$J$76</f>
        <v>0</v>
      </c>
      <c r="K713" s="355">
        <f>'HSH FGD'!$K$76</f>
        <v>0</v>
      </c>
      <c r="L713" s="355">
        <f>'HSH FGD'!$L$76</f>
        <v>0</v>
      </c>
      <c r="M713" s="357">
        <f>'HSH FGD'!$M$76</f>
        <v>2951837</v>
      </c>
      <c r="O713" s="332"/>
    </row>
    <row r="714" spans="1:15" hidden="1" outlineLevel="1">
      <c r="B714" s="392" t="str">
        <f>'HSSA FGD'!$B$2</f>
        <v>The University of Texas Health Science Center at San Antonio</v>
      </c>
      <c r="C714" s="162"/>
      <c r="D714" s="355">
        <f>'HSSA FGD'!$D$76</f>
        <v>0</v>
      </c>
      <c r="E714" s="355">
        <f>'HSSA FGD'!$E$76</f>
        <v>435000</v>
      </c>
      <c r="F714" s="355">
        <f>'HSSA FGD'!$F$76</f>
        <v>0</v>
      </c>
      <c r="G714" s="355">
        <f>'HSSA FGD'!$G$76</f>
        <v>0</v>
      </c>
      <c r="H714" s="355">
        <f>'HSSA FGD'!$H$76</f>
        <v>5432887</v>
      </c>
      <c r="I714" s="355">
        <f>'HSSA FGD'!$I$76</f>
        <v>0</v>
      </c>
      <c r="J714" s="355">
        <f>'HSSA FGD'!$J$76</f>
        <v>0</v>
      </c>
      <c r="K714" s="355">
        <f>'HSSA FGD'!$K$76</f>
        <v>0</v>
      </c>
      <c r="L714" s="355">
        <f>'HSSA FGD'!$L$76</f>
        <v>0</v>
      </c>
      <c r="M714" s="357">
        <f>'HSSA FGD'!$M$76</f>
        <v>5867887</v>
      </c>
      <c r="O714" s="332"/>
    </row>
    <row r="715" spans="1:15" hidden="1" outlineLevel="1">
      <c r="B715" s="392" t="str">
        <f>'MBG FGD'!$B$2</f>
        <v>The University of Texas Medical Branch at Galveston</v>
      </c>
      <c r="C715" s="162"/>
      <c r="D715" s="355">
        <f>'MBG FGD'!$D$76</f>
        <v>193474</v>
      </c>
      <c r="E715" s="355">
        <f>'MBG FGD'!$E$76</f>
        <v>805683</v>
      </c>
      <c r="F715" s="355">
        <f>'MBG FGD'!$F$76</f>
        <v>0</v>
      </c>
      <c r="G715" s="355">
        <f>'MBG FGD'!$G$76</f>
        <v>27867</v>
      </c>
      <c r="H715" s="355">
        <f>'MBG FGD'!$H$76</f>
        <v>1585469</v>
      </c>
      <c r="I715" s="355">
        <f>'MBG FGD'!$I$76</f>
        <v>0</v>
      </c>
      <c r="J715" s="355">
        <f>'MBG FGD'!$J$76</f>
        <v>1452288</v>
      </c>
      <c r="K715" s="355">
        <f>'MBG FGD'!$K$76</f>
        <v>0</v>
      </c>
      <c r="L715" s="355">
        <f>'MBG FGD'!$L$76</f>
        <v>0</v>
      </c>
      <c r="M715" s="357">
        <f>'MBG FGD'!$M$76</f>
        <v>4064781</v>
      </c>
      <c r="O715" s="332"/>
    </row>
    <row r="716" spans="1:15" hidden="1" outlineLevel="1">
      <c r="B716" s="392" t="str">
        <f>'MDA FGD'!$B$2</f>
        <v>The University of Texas M.D. Anderson Cancer Center</v>
      </c>
      <c r="C716" s="162"/>
      <c r="D716" s="355">
        <f>'MDA FGD'!$D$76</f>
        <v>49332</v>
      </c>
      <c r="E716" s="355">
        <f>'MDA FGD'!$E$76</f>
        <v>1028324</v>
      </c>
      <c r="F716" s="355">
        <f>'MDA FGD'!$F$76</f>
        <v>0</v>
      </c>
      <c r="G716" s="355">
        <f>'MDA FGD'!$G$76</f>
        <v>0</v>
      </c>
      <c r="H716" s="355">
        <f>'MDA FGD'!$H$76</f>
        <v>0</v>
      </c>
      <c r="I716" s="355">
        <f>'MDA FGD'!$I$76</f>
        <v>0</v>
      </c>
      <c r="J716" s="355">
        <f>'MDA FGD'!$J$76</f>
        <v>0</v>
      </c>
      <c r="K716" s="355">
        <f>'MDA FGD'!$K$76</f>
        <v>0</v>
      </c>
      <c r="L716" s="355">
        <f>'MDA FGD'!$L$76</f>
        <v>2865166</v>
      </c>
      <c r="M716" s="357">
        <f>'MDA FGD'!$M$76</f>
        <v>3942822</v>
      </c>
      <c r="O716" s="332"/>
    </row>
    <row r="717" spans="1:15" hidden="1" outlineLevel="1">
      <c r="B717" s="392" t="str">
        <f>'RGVM FGD'!$B$2</f>
        <v>The University of Texas Rio Grande Valley Medical School (M)</v>
      </c>
      <c r="C717" s="162"/>
      <c r="D717" s="355">
        <f>'RGVM FGD'!$D$76</f>
        <v>0</v>
      </c>
      <c r="E717" s="355">
        <f>'RGVM FGD'!$E$76</f>
        <v>0</v>
      </c>
      <c r="F717" s="355">
        <f>'RGVM FGD'!$F$76</f>
        <v>0</v>
      </c>
      <c r="G717" s="355">
        <f>'RGVM FGD'!$G$76</f>
        <v>0</v>
      </c>
      <c r="H717" s="355">
        <f>'RGVM FGD'!$H$76</f>
        <v>0</v>
      </c>
      <c r="I717" s="355">
        <f>'RGVM FGD'!$I$76</f>
        <v>0</v>
      </c>
      <c r="J717" s="355">
        <f>'RGVM FGD'!$J$76</f>
        <v>0</v>
      </c>
      <c r="K717" s="355">
        <f>'RGVM FGD'!$K$76</f>
        <v>0</v>
      </c>
      <c r="L717" s="355">
        <f>'RGVM FGD'!$L$76</f>
        <v>0</v>
      </c>
      <c r="M717" s="357">
        <f>'RGVM FGD'!$M$76</f>
        <v>0</v>
      </c>
      <c r="O717" s="332"/>
    </row>
    <row r="718" spans="1:15" hidden="1" outlineLevel="1">
      <c r="B718" s="392" t="str">
        <f>'SWM FGD'!$B$2</f>
        <v>The University of Texas Southwestern Medical Center</v>
      </c>
      <c r="C718" s="162"/>
      <c r="D718" s="355">
        <f>'SWM FGD'!$D$76</f>
        <v>0</v>
      </c>
      <c r="E718" s="355">
        <f>'SWM FGD'!$E$76</f>
        <v>0</v>
      </c>
      <c r="F718" s="355">
        <f>'SWM FGD'!$F$76</f>
        <v>0</v>
      </c>
      <c r="G718" s="355">
        <f>'SWM FGD'!$G$76</f>
        <v>0</v>
      </c>
      <c r="H718" s="355">
        <f>'SWM FGD'!$H$76</f>
        <v>4701500</v>
      </c>
      <c r="I718" s="355">
        <f>'SWM FGD'!$I$76</f>
        <v>0</v>
      </c>
      <c r="J718" s="355">
        <f>'SWM FGD'!$J$76</f>
        <v>3058042</v>
      </c>
      <c r="K718" s="355">
        <f>'SWM FGD'!$K$76</f>
        <v>0</v>
      </c>
      <c r="L718" s="355">
        <f>'SWM FGD'!$L$76</f>
        <v>0</v>
      </c>
      <c r="M718" s="357">
        <f>'SWM FGD'!$M$76</f>
        <v>7759542</v>
      </c>
      <c r="O718" s="332"/>
    </row>
    <row r="719" spans="1:15" hidden="1" outlineLevel="1">
      <c r="B719" s="392" t="str">
        <f>'TAMHSC FGD'!$B$2</f>
        <v>Texas A&amp;M University System Health Science Center</v>
      </c>
      <c r="C719" s="162"/>
      <c r="D719" s="355">
        <f>'TAMHSC FGD'!$D$76</f>
        <v>0</v>
      </c>
      <c r="E719" s="355">
        <f>'TAMHSC FGD'!$E$76</f>
        <v>548691</v>
      </c>
      <c r="F719" s="355">
        <f>'TAMHSC FGD'!$F$76</f>
        <v>0</v>
      </c>
      <c r="G719" s="355">
        <f>'TAMHSC FGD'!$G$76</f>
        <v>52043</v>
      </c>
      <c r="H719" s="355">
        <f>'TAMHSC FGD'!$H$76</f>
        <v>0</v>
      </c>
      <c r="I719" s="355">
        <f>'TAMHSC FGD'!$I$76</f>
        <v>0</v>
      </c>
      <c r="J719" s="355">
        <f>'TAMHSC FGD'!$J$76</f>
        <v>0</v>
      </c>
      <c r="K719" s="355">
        <f>'TAMHSC FGD'!$K$76</f>
        <v>0</v>
      </c>
      <c r="L719" s="355">
        <f>'TAMHSC FGD'!$L$76</f>
        <v>271011</v>
      </c>
      <c r="M719" s="357">
        <f>'TAMHSC FGD'!$M$76</f>
        <v>871745</v>
      </c>
      <c r="O719" s="332"/>
    </row>
    <row r="720" spans="1:15" hidden="1" outlineLevel="1">
      <c r="B720" s="392" t="str">
        <f>'THC FGD'!$B$2</f>
        <v>The University of Texas Health Science Center at Tyler</v>
      </c>
      <c r="C720" s="162"/>
      <c r="D720" s="355">
        <f>'THC FGD'!$D$76</f>
        <v>0</v>
      </c>
      <c r="E720" s="355">
        <f>'THC FGD'!$E$76</f>
        <v>0</v>
      </c>
      <c r="F720" s="355">
        <f>'THC FGD'!$F$76</f>
        <v>0</v>
      </c>
      <c r="G720" s="355">
        <f>'THC FGD'!$G$76</f>
        <v>0</v>
      </c>
      <c r="H720" s="355">
        <f>'THC FGD'!$H$76</f>
        <v>0</v>
      </c>
      <c r="I720" s="355">
        <f>'THC FGD'!$I$76</f>
        <v>0</v>
      </c>
      <c r="J720" s="355">
        <f>'THC FGD'!$J$76</f>
        <v>0</v>
      </c>
      <c r="K720" s="355">
        <f>'THC FGD'!$K$76</f>
        <v>0</v>
      </c>
      <c r="L720" s="355">
        <f>'THC FGD'!$L$76</f>
        <v>0</v>
      </c>
      <c r="M720" s="357">
        <f>'THC FGD'!$M$76</f>
        <v>0</v>
      </c>
      <c r="O720" s="332"/>
    </row>
    <row r="721" spans="1:15" hidden="1" outlineLevel="1">
      <c r="B721" s="392" t="str">
        <f>'TTUHSC FGD'!$B$2</f>
        <v>Texas Tech University Health Sciences Center</v>
      </c>
      <c r="C721" s="162"/>
      <c r="D721" s="355">
        <f>'TTUHSC FGD'!$D$76</f>
        <v>-47154</v>
      </c>
      <c r="E721" s="355">
        <f>'TTUHSC FGD'!$E$76</f>
        <v>0</v>
      </c>
      <c r="F721" s="355">
        <f>'TTUHSC FGD'!$F$76</f>
        <v>0</v>
      </c>
      <c r="G721" s="355">
        <f>'TTUHSC FGD'!$G$76</f>
        <v>0</v>
      </c>
      <c r="H721" s="355">
        <f>'TTUHSC FGD'!$H$76</f>
        <v>0</v>
      </c>
      <c r="I721" s="355">
        <f>'TTUHSC FGD'!$I$76</f>
        <v>0</v>
      </c>
      <c r="J721" s="355">
        <f>'TTUHSC FGD'!$J$76</f>
        <v>0</v>
      </c>
      <c r="K721" s="355">
        <f>'TTUHSC FGD'!$K$76</f>
        <v>0</v>
      </c>
      <c r="L721" s="355">
        <f>'TTUHSC FGD'!$L$76</f>
        <v>536031</v>
      </c>
      <c r="M721" s="357">
        <f>'TTUHSC FGD'!$M$76</f>
        <v>488877</v>
      </c>
      <c r="O721" s="332"/>
    </row>
    <row r="722" spans="1:15" hidden="1" outlineLevel="1">
      <c r="B722" s="392" t="str">
        <f>'TTUHSCEP FGD'!$B$2</f>
        <v>Texas Tech University Health Sciences Center at El Paso</v>
      </c>
      <c r="C722" s="162"/>
      <c r="D722" s="355">
        <f>'TTUHSCEP FGD'!$D$76</f>
        <v>0</v>
      </c>
      <c r="E722" s="355">
        <f>'TTUHSCEP FGD'!$E$76</f>
        <v>0</v>
      </c>
      <c r="F722" s="355">
        <f>'TTUHSCEP FGD'!$F$76</f>
        <v>0</v>
      </c>
      <c r="G722" s="355">
        <f>'TTUHSCEP FGD'!$G$76</f>
        <v>0</v>
      </c>
      <c r="H722" s="355">
        <f>'TTUHSCEP FGD'!$H$76</f>
        <v>0</v>
      </c>
      <c r="I722" s="355">
        <f>'TTUHSCEP FGD'!$I$76</f>
        <v>0</v>
      </c>
      <c r="J722" s="355">
        <f>'TTUHSCEP FGD'!$J$76</f>
        <v>0</v>
      </c>
      <c r="K722" s="355">
        <f>'TTUHSCEP FGD'!$K$76</f>
        <v>0</v>
      </c>
      <c r="L722" s="355">
        <f>'TTUHSCEP FGD'!$L$76</f>
        <v>0</v>
      </c>
      <c r="M722" s="357">
        <f>'TTUHSCEP FGD'!$M$76</f>
        <v>0</v>
      </c>
      <c r="O722" s="332"/>
    </row>
    <row r="723" spans="1:15" hidden="1" outlineLevel="1">
      <c r="B723" s="392" t="str">
        <f>'UNTHSC FGD'!$B$2</f>
        <v>University of North Texas Health Science Center at Fort Worth</v>
      </c>
      <c r="C723" s="162"/>
      <c r="D723" s="355">
        <f>'UNTHSC FGD'!$D$76</f>
        <v>0</v>
      </c>
      <c r="E723" s="355">
        <f>'UNTHSC FGD'!$E$76</f>
        <v>48846</v>
      </c>
      <c r="F723" s="355">
        <f>'UNTHSC FGD'!$F$76</f>
        <v>0</v>
      </c>
      <c r="G723" s="355">
        <f>'UNTHSC FGD'!$G$76</f>
        <v>52368</v>
      </c>
      <c r="H723" s="355">
        <f>'UNTHSC FGD'!$H$76</f>
        <v>0</v>
      </c>
      <c r="I723" s="355">
        <f>'UNTHSC FGD'!$I$76</f>
        <v>0</v>
      </c>
      <c r="J723" s="355">
        <f>'UNTHSC FGD'!$J$76</f>
        <v>0</v>
      </c>
      <c r="K723" s="355">
        <f>'UNTHSC FGD'!$K$76</f>
        <v>0</v>
      </c>
      <c r="L723" s="355">
        <f>'UNTHSC FGD'!$L$76</f>
        <v>1182</v>
      </c>
      <c r="M723" s="357">
        <f>'UNTHSC FGD'!$M$76</f>
        <v>102396</v>
      </c>
      <c r="O723" s="332"/>
    </row>
    <row r="724" spans="1:15" ht="13.5" customHeight="1" collapsed="1">
      <c r="A724" s="147">
        <v>59</v>
      </c>
      <c r="B724" s="163" t="s">
        <v>42</v>
      </c>
      <c r="C724" s="163"/>
      <c r="D724" s="359">
        <f t="shared" ref="D724:M724" si="53">SUM(D712:D723)</f>
        <v>195652</v>
      </c>
      <c r="E724" s="359">
        <f t="shared" si="53"/>
        <v>2866544</v>
      </c>
      <c r="F724" s="359">
        <f t="shared" si="53"/>
        <v>0</v>
      </c>
      <c r="G724" s="359">
        <f t="shared" si="53"/>
        <v>132278</v>
      </c>
      <c r="H724" s="359">
        <f t="shared" si="53"/>
        <v>14671693</v>
      </c>
      <c r="I724" s="359">
        <f t="shared" si="53"/>
        <v>0</v>
      </c>
      <c r="J724" s="359">
        <f t="shared" si="53"/>
        <v>4510330</v>
      </c>
      <c r="K724" s="359">
        <f t="shared" si="53"/>
        <v>0</v>
      </c>
      <c r="L724" s="359">
        <f t="shared" si="53"/>
        <v>3673390</v>
      </c>
      <c r="M724" s="357">
        <f t="shared" si="53"/>
        <v>26049887</v>
      </c>
      <c r="O724" s="313"/>
    </row>
    <row r="725" spans="1:15" ht="13.5" hidden="1" customHeight="1" outlineLevel="1">
      <c r="B725" s="392" t="str">
        <f>'AUSM FGD'!$B$2</f>
        <v>The University of Texas at Austin Medical School (M)</v>
      </c>
      <c r="C725" s="163"/>
      <c r="D725" s="359">
        <f>'AUSM FGD'!$D$77</f>
        <v>29202748</v>
      </c>
      <c r="E725" s="359">
        <f>'AUSM FGD'!$E$77</f>
        <v>70094242</v>
      </c>
      <c r="F725" s="359">
        <f>'AUSM FGD'!$F$77</f>
        <v>2596322</v>
      </c>
      <c r="G725" s="359">
        <f>'AUSM FGD'!$G$77</f>
        <v>20619312</v>
      </c>
      <c r="H725" s="359">
        <f>'AUSM FGD'!$H$77</f>
        <v>0</v>
      </c>
      <c r="I725" s="359">
        <f>'AUSM FGD'!$I$77</f>
        <v>0</v>
      </c>
      <c r="J725" s="359">
        <f>'AUSM FGD'!$J$77</f>
        <v>1592833</v>
      </c>
      <c r="K725" s="359">
        <f>'AUSM FGD'!$K$77</f>
        <v>0</v>
      </c>
      <c r="L725" s="359">
        <f>'AUSM FGD'!$L$77</f>
        <v>0</v>
      </c>
      <c r="M725" s="357">
        <f>'AUSM FGD'!$M$77</f>
        <v>124105457</v>
      </c>
      <c r="O725" s="313"/>
    </row>
    <row r="726" spans="1:15" ht="13.5" hidden="1" customHeight="1" outlineLevel="1">
      <c r="B726" s="392" t="str">
        <f>'HSH FGD'!$B$2</f>
        <v>The University of Texas Health Science Center at Houston</v>
      </c>
      <c r="C726" s="163"/>
      <c r="D726" s="359">
        <f>'HSH FGD'!$D$77</f>
        <v>267062376</v>
      </c>
      <c r="E726" s="359">
        <f>'HSH FGD'!$E$77</f>
        <v>1106738438</v>
      </c>
      <c r="F726" s="359">
        <f>'HSH FGD'!$F$77</f>
        <v>17144694</v>
      </c>
      <c r="G726" s="359">
        <f>'HSH FGD'!$G$77</f>
        <v>206832944</v>
      </c>
      <c r="H726" s="359">
        <f>'HSH FGD'!$H$77</f>
        <v>3024302</v>
      </c>
      <c r="I726" s="359">
        <f>'HSH FGD'!$I$77</f>
        <v>0</v>
      </c>
      <c r="J726" s="359">
        <f>'HSH FGD'!$J$77</f>
        <v>6723070</v>
      </c>
      <c r="K726" s="359">
        <f>'HSH FGD'!$K$77</f>
        <v>0</v>
      </c>
      <c r="L726" s="359">
        <f>'HSH FGD'!$L$77</f>
        <v>0</v>
      </c>
      <c r="M726" s="357">
        <f>'HSH FGD'!$M$77</f>
        <v>1607525824</v>
      </c>
      <c r="O726" s="313"/>
    </row>
    <row r="727" spans="1:15" ht="13.5" hidden="1" customHeight="1" outlineLevel="1">
      <c r="B727" s="392" t="str">
        <f>'HSSA FGD'!$B$2</f>
        <v>The University of Texas Health Science Center at San Antonio</v>
      </c>
      <c r="C727" s="163"/>
      <c r="D727" s="359">
        <f>'HSSA FGD'!$D$77</f>
        <v>195891592</v>
      </c>
      <c r="E727" s="359">
        <f>'HSSA FGD'!$E$77</f>
        <v>480512780</v>
      </c>
      <c r="F727" s="359">
        <f>'HSSA FGD'!$F$77</f>
        <v>6437259</v>
      </c>
      <c r="G727" s="359">
        <f>'HSSA FGD'!$G$77</f>
        <v>154596150</v>
      </c>
      <c r="H727" s="359">
        <f>'HSSA FGD'!$H$77</f>
        <v>5498510</v>
      </c>
      <c r="I727" s="359">
        <f>'HSSA FGD'!$I$77</f>
        <v>0</v>
      </c>
      <c r="J727" s="359">
        <f>'HSSA FGD'!$J$77</f>
        <v>808286</v>
      </c>
      <c r="K727" s="359">
        <f>'HSSA FGD'!$K$77</f>
        <v>0</v>
      </c>
      <c r="L727" s="359">
        <f>'HSSA FGD'!$L$77</f>
        <v>0</v>
      </c>
      <c r="M727" s="357">
        <f>'HSSA FGD'!$M$77</f>
        <v>843744577</v>
      </c>
      <c r="O727" s="313"/>
    </row>
    <row r="728" spans="1:15" ht="13.5" hidden="1" customHeight="1" outlineLevel="1">
      <c r="B728" s="392" t="str">
        <f>'MBG FGD'!$B$2</f>
        <v>The University of Texas Medical Branch at Galveston</v>
      </c>
      <c r="C728" s="163"/>
      <c r="D728" s="359">
        <f>'MBG FGD'!$D$77</f>
        <v>856473026</v>
      </c>
      <c r="E728" s="359">
        <f>'MBG FGD'!$E$77</f>
        <v>944367169</v>
      </c>
      <c r="F728" s="359">
        <f>'MBG FGD'!$F$77</f>
        <v>11353676</v>
      </c>
      <c r="G728" s="359">
        <f>'MBG FGD'!$G$77</f>
        <v>163056003</v>
      </c>
      <c r="H728" s="359">
        <f>'MBG FGD'!$H$77</f>
        <v>1587469</v>
      </c>
      <c r="I728" s="359">
        <f>'MBG FGD'!$I$77</f>
        <v>0</v>
      </c>
      <c r="J728" s="359">
        <f>'MBG FGD'!$J$77</f>
        <v>9982082</v>
      </c>
      <c r="K728" s="359">
        <f>'MBG FGD'!$K$77</f>
        <v>0</v>
      </c>
      <c r="L728" s="359">
        <f>'MBG FGD'!$L$77</f>
        <v>0</v>
      </c>
      <c r="M728" s="357">
        <f>'MBG FGD'!$M$77</f>
        <v>1986819425</v>
      </c>
      <c r="O728" s="313"/>
    </row>
    <row r="729" spans="1:15" ht="13.5" hidden="1" customHeight="1" outlineLevel="1">
      <c r="B729" s="392" t="str">
        <f>'MDA FGD'!$B$2</f>
        <v>The University of Texas M.D. Anderson Cancer Center</v>
      </c>
      <c r="C729" s="163"/>
      <c r="D729" s="359">
        <f>'MDA FGD'!$D$77</f>
        <v>2979459814</v>
      </c>
      <c r="E729" s="359">
        <f>'MDA FGD'!$E$77</f>
        <v>683819380</v>
      </c>
      <c r="F729" s="359">
        <f>'MDA FGD'!$F$77</f>
        <v>22935744</v>
      </c>
      <c r="G729" s="359">
        <f>'MDA FGD'!$G$77</f>
        <v>470028869</v>
      </c>
      <c r="H729" s="359">
        <f>'MDA FGD'!$H$77</f>
        <v>0</v>
      </c>
      <c r="I729" s="359">
        <f>'MDA FGD'!$I$77</f>
        <v>0</v>
      </c>
      <c r="J729" s="359">
        <f>'MDA FGD'!$J$77</f>
        <v>0</v>
      </c>
      <c r="K729" s="359">
        <f>'MDA FGD'!$K$77</f>
        <v>0</v>
      </c>
      <c r="L729" s="359">
        <f>'MDA FGD'!$L$77</f>
        <v>2865166</v>
      </c>
      <c r="M729" s="357">
        <f>'MDA FGD'!$M$77</f>
        <v>4159108973</v>
      </c>
      <c r="O729" s="313"/>
    </row>
    <row r="730" spans="1:15" ht="13.5" hidden="1" customHeight="1" outlineLevel="1">
      <c r="B730" s="392" t="str">
        <f>'RGVM FGD'!$B$2</f>
        <v>The University of Texas Rio Grande Valley Medical School (M)</v>
      </c>
      <c r="C730" s="163"/>
      <c r="D730" s="359">
        <f>'RGVM FGD'!$D$77</f>
        <v>35659375</v>
      </c>
      <c r="E730" s="359">
        <f>'RGVM FGD'!$E$77</f>
        <v>31552448</v>
      </c>
      <c r="F730" s="359">
        <f>'RGVM FGD'!$F$77</f>
        <v>0</v>
      </c>
      <c r="G730" s="359">
        <f>'RGVM FGD'!$G$77</f>
        <v>10454579</v>
      </c>
      <c r="H730" s="359">
        <f>'RGVM FGD'!$H$77</f>
        <v>0</v>
      </c>
      <c r="I730" s="359">
        <f>'RGVM FGD'!$I$77</f>
        <v>0</v>
      </c>
      <c r="J730" s="359">
        <f>'RGVM FGD'!$J$77</f>
        <v>1205589</v>
      </c>
      <c r="K730" s="359">
        <f>'RGVM FGD'!$K$77</f>
        <v>0</v>
      </c>
      <c r="L730" s="359">
        <f>'RGVM FGD'!$L$77</f>
        <v>0</v>
      </c>
      <c r="M730" s="357">
        <f>'RGVM FGD'!$M$77</f>
        <v>78871991</v>
      </c>
      <c r="O730" s="313"/>
    </row>
    <row r="731" spans="1:15" ht="13.5" hidden="1" customHeight="1" outlineLevel="1">
      <c r="B731" s="392" t="str">
        <f>'SWM FGD'!$B$2</f>
        <v>The University of Texas Southwestern Medical Center</v>
      </c>
      <c r="C731" s="163"/>
      <c r="D731" s="359">
        <f>'SWM FGD'!$D$77</f>
        <v>185309832</v>
      </c>
      <c r="E731" s="359">
        <f>'SWM FGD'!$E$77</f>
        <v>2218833556</v>
      </c>
      <c r="F731" s="359">
        <f>'SWM FGD'!$F$77</f>
        <v>24052799</v>
      </c>
      <c r="G731" s="359">
        <f>'SWM FGD'!$G$77</f>
        <v>325857829</v>
      </c>
      <c r="H731" s="359">
        <f>'SWM FGD'!$H$77</f>
        <v>4653789</v>
      </c>
      <c r="I731" s="359">
        <f>'SWM FGD'!$I$77</f>
        <v>0</v>
      </c>
      <c r="J731" s="359">
        <f>'SWM FGD'!$J$77</f>
        <v>31404761</v>
      </c>
      <c r="K731" s="359">
        <f>'SWM FGD'!$K$77</f>
        <v>0</v>
      </c>
      <c r="L731" s="359">
        <f>'SWM FGD'!$L$77</f>
        <v>0</v>
      </c>
      <c r="M731" s="357">
        <f>'SWM FGD'!$M$77</f>
        <v>2790112566</v>
      </c>
      <c r="O731" s="313"/>
    </row>
    <row r="732" spans="1:15" ht="13.5" hidden="1" customHeight="1" outlineLevel="1">
      <c r="B732" s="392" t="str">
        <f>'TAMHSC FGD'!$B$2</f>
        <v>Texas A&amp;M University System Health Science Center</v>
      </c>
      <c r="C732" s="163"/>
      <c r="D732" s="359">
        <f>'TAMHSC FGD'!$D$77</f>
        <v>158791967</v>
      </c>
      <c r="E732" s="359">
        <f>'TAMHSC FGD'!$E$77</f>
        <v>72859243</v>
      </c>
      <c r="F732" s="359">
        <f>'TAMHSC FGD'!$F$77</f>
        <v>2893023</v>
      </c>
      <c r="G732" s="359">
        <f>'TAMHSC FGD'!$G$77</f>
        <v>47153930</v>
      </c>
      <c r="H732" s="359">
        <f>'TAMHSC FGD'!$H$77</f>
        <v>-471</v>
      </c>
      <c r="I732" s="359">
        <f>'TAMHSC FGD'!$I$77</f>
        <v>0</v>
      </c>
      <c r="J732" s="359">
        <f>'TAMHSC FGD'!$J$77</f>
        <v>267516</v>
      </c>
      <c r="K732" s="359">
        <f>'TAMHSC FGD'!$K$77</f>
        <v>0</v>
      </c>
      <c r="L732" s="359">
        <f>'TAMHSC FGD'!$L$77</f>
        <v>271011</v>
      </c>
      <c r="M732" s="357">
        <f>'TAMHSC FGD'!$M$77</f>
        <v>282236219</v>
      </c>
      <c r="O732" s="313"/>
    </row>
    <row r="733" spans="1:15" ht="13.5" hidden="1" customHeight="1" outlineLevel="1">
      <c r="B733" s="392" t="str">
        <f>'THC FGD'!$B$2</f>
        <v>The University of Texas Health Science Center at Tyler</v>
      </c>
      <c r="C733" s="163"/>
      <c r="D733" s="359">
        <f>'THC FGD'!$D$77</f>
        <v>159199528</v>
      </c>
      <c r="E733" s="359">
        <f>'THC FGD'!$E$77</f>
        <v>37972528</v>
      </c>
      <c r="F733" s="359">
        <f>'THC FGD'!$F$77</f>
        <v>144548</v>
      </c>
      <c r="G733" s="359">
        <f>'THC FGD'!$G$77</f>
        <v>14953525</v>
      </c>
      <c r="H733" s="359">
        <f>'THC FGD'!$H$77</f>
        <v>0</v>
      </c>
      <c r="I733" s="359">
        <f>'THC FGD'!$I$77</f>
        <v>0</v>
      </c>
      <c r="J733" s="359">
        <f>'THC FGD'!$J$77</f>
        <v>985526</v>
      </c>
      <c r="K733" s="359">
        <f>'THC FGD'!$K$77</f>
        <v>0</v>
      </c>
      <c r="L733" s="359">
        <f>'THC FGD'!$L$77</f>
        <v>0</v>
      </c>
      <c r="M733" s="357">
        <f>'THC FGD'!$M$77</f>
        <v>213255655</v>
      </c>
      <c r="O733" s="313"/>
    </row>
    <row r="734" spans="1:15" ht="13.5" hidden="1" customHeight="1" outlineLevel="1">
      <c r="B734" s="392" t="str">
        <f>'TTUHSC FGD'!$B$2</f>
        <v>Texas Tech University Health Sciences Center</v>
      </c>
      <c r="C734" s="163"/>
      <c r="D734" s="359">
        <f>'TTUHSC FGD'!$D$77</f>
        <v>167155835</v>
      </c>
      <c r="E734" s="359">
        <f>'TTUHSC FGD'!$E$77</f>
        <v>253919602</v>
      </c>
      <c r="F734" s="359">
        <f>'TTUHSC FGD'!$F$77</f>
        <v>456145</v>
      </c>
      <c r="G734" s="359">
        <f>'TTUHSC FGD'!$G$77</f>
        <v>213175115</v>
      </c>
      <c r="H734" s="359">
        <f>'TTUHSC FGD'!$H$77</f>
        <v>145080</v>
      </c>
      <c r="I734" s="359">
        <f>'TTUHSC FGD'!$I$77</f>
        <v>0</v>
      </c>
      <c r="J734" s="359">
        <f>'TTUHSC FGD'!$J$77</f>
        <v>9814342</v>
      </c>
      <c r="K734" s="359">
        <f>'TTUHSC FGD'!$K$77</f>
        <v>0</v>
      </c>
      <c r="L734" s="359">
        <f>'TTUHSC FGD'!$L$77</f>
        <v>536031</v>
      </c>
      <c r="M734" s="357">
        <f>'TTUHSC FGD'!$M$77</f>
        <v>645202150</v>
      </c>
      <c r="O734" s="313"/>
    </row>
    <row r="735" spans="1:15" ht="13.5" hidden="1" customHeight="1" outlineLevel="1">
      <c r="B735" s="392" t="str">
        <f>'TTUHSCEP FGD'!$B$2</f>
        <v>Texas Tech University Health Sciences Center at El Paso</v>
      </c>
      <c r="C735" s="163"/>
      <c r="D735" s="359">
        <f>'TTUHSCEP FGD'!$D$77</f>
        <v>67457654</v>
      </c>
      <c r="E735" s="359">
        <f>'TTUHSCEP FGD'!$E$77</f>
        <v>127135928</v>
      </c>
      <c r="F735" s="359">
        <f>'TTUHSCEP FGD'!$F$77</f>
        <v>216044</v>
      </c>
      <c r="G735" s="359">
        <f>'TTUHSCEP FGD'!$G$77</f>
        <v>24038951</v>
      </c>
      <c r="H735" s="359">
        <f>'TTUHSCEP FGD'!$H$77</f>
        <v>2803</v>
      </c>
      <c r="I735" s="359">
        <f>'TTUHSCEP FGD'!$I$77</f>
        <v>0</v>
      </c>
      <c r="J735" s="359">
        <f>'TTUHSCEP FGD'!$J$77</f>
        <v>1485633</v>
      </c>
      <c r="K735" s="359">
        <f>'TTUHSCEP FGD'!$K$77</f>
        <v>0</v>
      </c>
      <c r="L735" s="359">
        <f>'TTUHSCEP FGD'!$L$77</f>
        <v>0</v>
      </c>
      <c r="M735" s="357">
        <f>'TTUHSCEP FGD'!$M$77</f>
        <v>220337013</v>
      </c>
      <c r="O735" s="313"/>
    </row>
    <row r="736" spans="1:15" ht="13.5" hidden="1" customHeight="1" outlineLevel="1">
      <c r="B736" s="392" t="str">
        <f>'UNTHSC FGD'!$B$2</f>
        <v>University of North Texas Health Science Center at Fort Worth</v>
      </c>
      <c r="C736" s="163"/>
      <c r="D736" s="359">
        <f>'UNTHSC FGD'!$D$77</f>
        <v>101368067</v>
      </c>
      <c r="E736" s="359">
        <f>'UNTHSC FGD'!$E$77</f>
        <v>74554207</v>
      </c>
      <c r="F736" s="359">
        <f>'UNTHSC FGD'!$F$77</f>
        <v>898492</v>
      </c>
      <c r="G736" s="359">
        <f>'UNTHSC FGD'!$G$77</f>
        <v>37857087</v>
      </c>
      <c r="H736" s="359">
        <f>'UNTHSC FGD'!$H$77</f>
        <v>53566</v>
      </c>
      <c r="I736" s="359">
        <f>'UNTHSC FGD'!$I$77</f>
        <v>56850</v>
      </c>
      <c r="J736" s="359">
        <f>'UNTHSC FGD'!$J$77</f>
        <v>0</v>
      </c>
      <c r="K736" s="359">
        <f>'UNTHSC FGD'!$K$77</f>
        <v>0</v>
      </c>
      <c r="L736" s="359">
        <f>'UNTHSC FGD'!$L$77</f>
        <v>47058</v>
      </c>
      <c r="M736" s="357">
        <f>'UNTHSC FGD'!$M$77</f>
        <v>214835327</v>
      </c>
      <c r="O736" s="313"/>
    </row>
    <row r="737" spans="1:15" collapsed="1">
      <c r="A737" s="147">
        <v>60</v>
      </c>
      <c r="B737" s="164" t="s">
        <v>72</v>
      </c>
      <c r="C737" s="164"/>
      <c r="D737" s="356">
        <f t="shared" ref="D737:M737" si="54">SUM(D725:D736)</f>
        <v>5203031814</v>
      </c>
      <c r="E737" s="356">
        <f t="shared" si="54"/>
        <v>6102359521</v>
      </c>
      <c r="F737" s="356">
        <f t="shared" si="54"/>
        <v>89128746</v>
      </c>
      <c r="G737" s="356">
        <f t="shared" si="54"/>
        <v>1688624294</v>
      </c>
      <c r="H737" s="356">
        <f t="shared" si="54"/>
        <v>14965048</v>
      </c>
      <c r="I737" s="356">
        <f t="shared" si="54"/>
        <v>56850</v>
      </c>
      <c r="J737" s="356">
        <f t="shared" si="54"/>
        <v>64269638</v>
      </c>
      <c r="K737" s="356">
        <f t="shared" si="54"/>
        <v>0</v>
      </c>
      <c r="L737" s="356">
        <f t="shared" si="54"/>
        <v>3719266</v>
      </c>
      <c r="M737" s="356">
        <f t="shared" si="54"/>
        <v>13166155177</v>
      </c>
      <c r="O737" s="293" t="str">
        <f>IF(M737&lt;&gt;M1050,"Error","OK")</f>
        <v>OK</v>
      </c>
    </row>
    <row r="738" spans="1:15">
      <c r="A738" s="147">
        <v>61</v>
      </c>
      <c r="D738" s="357"/>
      <c r="E738" s="357"/>
      <c r="F738" s="357"/>
      <c r="G738" s="357"/>
      <c r="H738" s="357"/>
      <c r="I738" s="357"/>
      <c r="J738" s="357"/>
      <c r="K738" s="357"/>
      <c r="L738" s="357"/>
      <c r="M738" s="357"/>
      <c r="O738" s="341"/>
    </row>
    <row r="739" spans="1:15">
      <c r="A739" s="147">
        <v>62</v>
      </c>
      <c r="B739" s="151" t="s">
        <v>23</v>
      </c>
      <c r="C739" s="151"/>
      <c r="D739" s="357"/>
      <c r="E739" s="357"/>
      <c r="F739" s="357"/>
      <c r="G739" s="357"/>
      <c r="H739" s="357"/>
      <c r="I739" s="357"/>
      <c r="J739" s="357"/>
      <c r="K739" s="357"/>
      <c r="L739" s="357"/>
      <c r="M739" s="357"/>
      <c r="O739" s="341"/>
    </row>
    <row r="740" spans="1:15" hidden="1" outlineLevel="1">
      <c r="B740" s="392" t="str">
        <f>'AUSM FGD'!$B$2</f>
        <v>The University of Texas at Austin Medical School (M)</v>
      </c>
      <c r="C740" s="151"/>
      <c r="D740" s="357">
        <f>'AUSM FGD'!$D$80</f>
        <v>0</v>
      </c>
      <c r="E740" s="357">
        <f>'AUSM FGD'!$E$80</f>
        <v>0</v>
      </c>
      <c r="F740" s="357">
        <f>'AUSM FGD'!$F$80</f>
        <v>0</v>
      </c>
      <c r="G740" s="357">
        <f>'AUSM FGD'!$G$80</f>
        <v>0</v>
      </c>
      <c r="H740" s="357">
        <f>'AUSM FGD'!$H$80</f>
        <v>0</v>
      </c>
      <c r="I740" s="357">
        <f>'AUSM FGD'!$I$80</f>
        <v>0</v>
      </c>
      <c r="J740" s="357">
        <f>'AUSM FGD'!$J$80</f>
        <v>-32010379</v>
      </c>
      <c r="K740" s="357">
        <f>'AUSM FGD'!$K$80</f>
        <v>0</v>
      </c>
      <c r="L740" s="357">
        <f>'AUSM FGD'!$L$80</f>
        <v>0</v>
      </c>
      <c r="M740" s="357">
        <f>'AUSM FGD'!$M$80</f>
        <v>-32010379</v>
      </c>
      <c r="O740" s="341"/>
    </row>
    <row r="741" spans="1:15" hidden="1" outlineLevel="1">
      <c r="B741" s="392" t="str">
        <f>'HSH FGD'!$B$2</f>
        <v>The University of Texas Health Science Center at Houston</v>
      </c>
      <c r="C741" s="151"/>
      <c r="D741" s="357">
        <f>'HSH FGD'!$D$80</f>
        <v>0</v>
      </c>
      <c r="E741" s="357">
        <f>'HSH FGD'!$E$80</f>
        <v>0</v>
      </c>
      <c r="F741" s="357">
        <f>'HSH FGD'!$F$80</f>
        <v>0</v>
      </c>
      <c r="G741" s="357">
        <f>'HSH FGD'!$G$80</f>
        <v>0</v>
      </c>
      <c r="H741" s="357">
        <f>'HSH FGD'!$H$80</f>
        <v>0</v>
      </c>
      <c r="I741" s="357">
        <f>'HSH FGD'!$I$80</f>
        <v>0</v>
      </c>
      <c r="J741" s="357">
        <f>'HSH FGD'!$J$80</f>
        <v>-60822385</v>
      </c>
      <c r="K741" s="357">
        <f>'HSH FGD'!$K$80</f>
        <v>0</v>
      </c>
      <c r="L741" s="357">
        <f>'HSH FGD'!$L$80</f>
        <v>0</v>
      </c>
      <c r="M741" s="357">
        <f>'HSH FGD'!$M$80</f>
        <v>-60822385</v>
      </c>
      <c r="O741" s="341"/>
    </row>
    <row r="742" spans="1:15" hidden="1" outlineLevel="1">
      <c r="B742" s="392" t="str">
        <f>'HSSA FGD'!$B$2</f>
        <v>The University of Texas Health Science Center at San Antonio</v>
      </c>
      <c r="C742" s="151"/>
      <c r="D742" s="357">
        <f>'HSSA FGD'!$D$80</f>
        <v>0</v>
      </c>
      <c r="E742" s="357">
        <f>'HSSA FGD'!$E$80</f>
        <v>0</v>
      </c>
      <c r="F742" s="357">
        <f>'HSSA FGD'!$F$80</f>
        <v>0</v>
      </c>
      <c r="G742" s="357">
        <f>'HSSA FGD'!$G$80</f>
        <v>0</v>
      </c>
      <c r="H742" s="357">
        <f>'HSSA FGD'!$H$80</f>
        <v>0</v>
      </c>
      <c r="I742" s="357">
        <f>'HSSA FGD'!$I$80</f>
        <v>0</v>
      </c>
      <c r="J742" s="357">
        <f>'HSSA FGD'!$J$80</f>
        <v>-81094986</v>
      </c>
      <c r="K742" s="357">
        <f>'HSSA FGD'!$K$80</f>
        <v>0</v>
      </c>
      <c r="L742" s="357">
        <f>'HSSA FGD'!$L$80</f>
        <v>0</v>
      </c>
      <c r="M742" s="357">
        <f>'HSSA FGD'!$M$80</f>
        <v>-81094986</v>
      </c>
      <c r="O742" s="341"/>
    </row>
    <row r="743" spans="1:15" hidden="1" outlineLevel="1">
      <c r="B743" s="392" t="str">
        <f>'MBG FGD'!$B$2</f>
        <v>The University of Texas Medical Branch at Galveston</v>
      </c>
      <c r="C743" s="151"/>
      <c r="D743" s="357">
        <f>'MBG FGD'!$D$80</f>
        <v>0</v>
      </c>
      <c r="E743" s="357">
        <f>'MBG FGD'!$E$80</f>
        <v>0</v>
      </c>
      <c r="F743" s="357">
        <f>'MBG FGD'!$F$80</f>
        <v>0</v>
      </c>
      <c r="G743" s="357">
        <f>'MBG FGD'!$G$80</f>
        <v>0</v>
      </c>
      <c r="H743" s="357">
        <f>'MBG FGD'!$H$80</f>
        <v>0</v>
      </c>
      <c r="I743" s="357">
        <f>'MBG FGD'!$I$80</f>
        <v>0</v>
      </c>
      <c r="J743" s="357">
        <f>'MBG FGD'!$J$80</f>
        <v>-288711367</v>
      </c>
      <c r="K743" s="357">
        <f>'MBG FGD'!$K$80</f>
        <v>0</v>
      </c>
      <c r="L743" s="357">
        <f>'MBG FGD'!$L$80</f>
        <v>0</v>
      </c>
      <c r="M743" s="357">
        <f>'MBG FGD'!$M$80</f>
        <v>-288711367</v>
      </c>
      <c r="O743" s="341"/>
    </row>
    <row r="744" spans="1:15" hidden="1" outlineLevel="1">
      <c r="B744" s="392" t="str">
        <f>'MDA FGD'!$B$2</f>
        <v>The University of Texas M.D. Anderson Cancer Center</v>
      </c>
      <c r="C744" s="151"/>
      <c r="D744" s="357">
        <f>'MDA FGD'!$D$80</f>
        <v>0</v>
      </c>
      <c r="E744" s="357">
        <f>'MDA FGD'!$E$80</f>
        <v>0</v>
      </c>
      <c r="F744" s="357">
        <f>'MDA FGD'!$F$80</f>
        <v>0</v>
      </c>
      <c r="G744" s="357">
        <f>'MDA FGD'!$G$80</f>
        <v>0</v>
      </c>
      <c r="H744" s="357">
        <f>'MDA FGD'!$H$80</f>
        <v>0</v>
      </c>
      <c r="I744" s="357">
        <f>'MDA FGD'!$I$80</f>
        <v>0</v>
      </c>
      <c r="J744" s="357">
        <f>'MDA FGD'!$J$80</f>
        <v>-290306993</v>
      </c>
      <c r="K744" s="357">
        <f>'MDA FGD'!$K$80</f>
        <v>0</v>
      </c>
      <c r="L744" s="357">
        <f>'MDA FGD'!$L$80</f>
        <v>0</v>
      </c>
      <c r="M744" s="357">
        <f>'MDA FGD'!$M$80</f>
        <v>-290306993</v>
      </c>
      <c r="O744" s="341"/>
    </row>
    <row r="745" spans="1:15" hidden="1" outlineLevel="1">
      <c r="B745" s="392" t="str">
        <f>'RGVM FGD'!$B$2</f>
        <v>The University of Texas Rio Grande Valley Medical School (M)</v>
      </c>
      <c r="C745" s="151"/>
      <c r="D745" s="357">
        <f>'RGVM FGD'!$D$80</f>
        <v>0</v>
      </c>
      <c r="E745" s="357">
        <f>'RGVM FGD'!$E$80</f>
        <v>0</v>
      </c>
      <c r="F745" s="357">
        <f>'RGVM FGD'!$F$80</f>
        <v>0</v>
      </c>
      <c r="G745" s="357">
        <f>'RGVM FGD'!$G$80</f>
        <v>0</v>
      </c>
      <c r="H745" s="357">
        <f>'RGVM FGD'!$H$80</f>
        <v>0</v>
      </c>
      <c r="I745" s="357">
        <f>'RGVM FGD'!$I$80</f>
        <v>0</v>
      </c>
      <c r="J745" s="357">
        <f>'RGVM FGD'!$J$80</f>
        <v>-5715874</v>
      </c>
      <c r="K745" s="357">
        <f>'RGVM FGD'!$K$80</f>
        <v>0</v>
      </c>
      <c r="L745" s="357">
        <f>'RGVM FGD'!$L$80</f>
        <v>0</v>
      </c>
      <c r="M745" s="357">
        <f>'RGVM FGD'!$M$80</f>
        <v>-5715874</v>
      </c>
      <c r="O745" s="341"/>
    </row>
    <row r="746" spans="1:15" hidden="1" outlineLevel="1">
      <c r="B746" s="392" t="str">
        <f>'SWM FGD'!$B$2</f>
        <v>The University of Texas Southwestern Medical Center</v>
      </c>
      <c r="C746" s="151"/>
      <c r="D746" s="357">
        <f>'SWM FGD'!$D$80</f>
        <v>0</v>
      </c>
      <c r="E746" s="357">
        <f>'SWM FGD'!$E$80</f>
        <v>0</v>
      </c>
      <c r="F746" s="357">
        <f>'SWM FGD'!$F$80</f>
        <v>0</v>
      </c>
      <c r="G746" s="357">
        <f>'SWM FGD'!$G$80</f>
        <v>0</v>
      </c>
      <c r="H746" s="357">
        <f>'SWM FGD'!$H$80</f>
        <v>0</v>
      </c>
      <c r="I746" s="357">
        <f>'SWM FGD'!$I$80</f>
        <v>0</v>
      </c>
      <c r="J746" s="357">
        <f>'SWM FGD'!$J$80</f>
        <v>-255246721</v>
      </c>
      <c r="K746" s="357">
        <f>'SWM FGD'!$K$80</f>
        <v>0</v>
      </c>
      <c r="L746" s="357">
        <f>'SWM FGD'!$L$80</f>
        <v>0</v>
      </c>
      <c r="M746" s="357">
        <f>'SWM FGD'!$M$80</f>
        <v>-255246721</v>
      </c>
      <c r="O746" s="341"/>
    </row>
    <row r="747" spans="1:15" hidden="1" outlineLevel="1">
      <c r="B747" s="392" t="str">
        <f>'TAMHSC FGD'!$B$2</f>
        <v>Texas A&amp;M University System Health Science Center</v>
      </c>
      <c r="C747" s="151"/>
      <c r="D747" s="357">
        <f>'TAMHSC FGD'!$D$80</f>
        <v>0</v>
      </c>
      <c r="E747" s="357">
        <f>'TAMHSC FGD'!$E$80</f>
        <v>0</v>
      </c>
      <c r="F747" s="357">
        <f>'TAMHSC FGD'!$F$80</f>
        <v>0</v>
      </c>
      <c r="G747" s="357">
        <f>'TAMHSC FGD'!$G$80</f>
        <v>0</v>
      </c>
      <c r="H747" s="357">
        <f>'TAMHSC FGD'!$H$80</f>
        <v>0</v>
      </c>
      <c r="I747" s="357">
        <f>'TAMHSC FGD'!$I$80</f>
        <v>0</v>
      </c>
      <c r="J747" s="357">
        <f>'TAMHSC FGD'!$J$80</f>
        <v>-157046</v>
      </c>
      <c r="K747" s="357">
        <f>'TAMHSC FGD'!$K$80</f>
        <v>0</v>
      </c>
      <c r="L747" s="357">
        <f>'TAMHSC FGD'!$L$80</f>
        <v>0</v>
      </c>
      <c r="M747" s="357">
        <f>'TAMHSC FGD'!$M$80</f>
        <v>-157046</v>
      </c>
      <c r="O747" s="341"/>
    </row>
    <row r="748" spans="1:15" hidden="1" outlineLevel="1">
      <c r="B748" s="392" t="str">
        <f>'THC FGD'!$B$2</f>
        <v>The University of Texas Health Science Center at Tyler</v>
      </c>
      <c r="C748" s="151"/>
      <c r="D748" s="357">
        <f>'THC FGD'!$D$80</f>
        <v>0</v>
      </c>
      <c r="E748" s="357">
        <f>'THC FGD'!$E$80</f>
        <v>0</v>
      </c>
      <c r="F748" s="357">
        <f>'THC FGD'!$F$80</f>
        <v>0</v>
      </c>
      <c r="G748" s="357">
        <f>'THC FGD'!$G$80</f>
        <v>0</v>
      </c>
      <c r="H748" s="357">
        <f>'THC FGD'!$H$80</f>
        <v>0</v>
      </c>
      <c r="I748" s="357">
        <f>'THC FGD'!$I$80</f>
        <v>0</v>
      </c>
      <c r="J748" s="357">
        <f>'THC FGD'!$J$80</f>
        <v>-31128291</v>
      </c>
      <c r="K748" s="357">
        <f>'THC FGD'!$K$80</f>
        <v>0</v>
      </c>
      <c r="L748" s="357">
        <f>'THC FGD'!$L$80</f>
        <v>0</v>
      </c>
      <c r="M748" s="357">
        <f>'THC FGD'!$M$80</f>
        <v>-31128291</v>
      </c>
      <c r="O748" s="341"/>
    </row>
    <row r="749" spans="1:15" hidden="1" outlineLevel="1">
      <c r="B749" s="392" t="str">
        <f>'TTUHSC FGD'!$B$2</f>
        <v>Texas Tech University Health Sciences Center</v>
      </c>
      <c r="C749" s="151"/>
      <c r="D749" s="357">
        <f>'TTUHSC FGD'!$D$80</f>
        <v>0</v>
      </c>
      <c r="E749" s="357">
        <f>'TTUHSC FGD'!$E$80</f>
        <v>0</v>
      </c>
      <c r="F749" s="357">
        <f>'TTUHSC FGD'!$F$80</f>
        <v>0</v>
      </c>
      <c r="G749" s="357">
        <f>'TTUHSC FGD'!$G$80</f>
        <v>0</v>
      </c>
      <c r="H749" s="357">
        <f>'TTUHSC FGD'!$H$80</f>
        <v>0</v>
      </c>
      <c r="I749" s="357">
        <f>'TTUHSC FGD'!$I$80</f>
        <v>0</v>
      </c>
      <c r="J749" s="357">
        <f>'TTUHSC FGD'!$J$80</f>
        <v>-56086071</v>
      </c>
      <c r="K749" s="357">
        <f>'TTUHSC FGD'!$K$80</f>
        <v>0</v>
      </c>
      <c r="L749" s="357">
        <f>'TTUHSC FGD'!$L$80</f>
        <v>0</v>
      </c>
      <c r="M749" s="357">
        <f>'TTUHSC FGD'!$M$80</f>
        <v>-56086071</v>
      </c>
      <c r="O749" s="341"/>
    </row>
    <row r="750" spans="1:15" hidden="1" outlineLevel="1">
      <c r="B750" s="392" t="str">
        <f>'TTUHSCEP FGD'!$B$2</f>
        <v>Texas Tech University Health Sciences Center at El Paso</v>
      </c>
      <c r="C750" s="151"/>
      <c r="D750" s="357">
        <f>'TTUHSCEP FGD'!$D$80</f>
        <v>0</v>
      </c>
      <c r="E750" s="357">
        <f>'TTUHSCEP FGD'!$E$80</f>
        <v>0</v>
      </c>
      <c r="F750" s="357">
        <f>'TTUHSCEP FGD'!$F$80</f>
        <v>0</v>
      </c>
      <c r="G750" s="357">
        <f>'TTUHSCEP FGD'!$G$80</f>
        <v>0</v>
      </c>
      <c r="H750" s="357">
        <f>'TTUHSCEP FGD'!$H$80</f>
        <v>0</v>
      </c>
      <c r="I750" s="357">
        <f>'TTUHSCEP FGD'!$I$80</f>
        <v>0</v>
      </c>
      <c r="J750" s="357">
        <f>'TTUHSCEP FGD'!$J$80</f>
        <v>-27703730</v>
      </c>
      <c r="K750" s="357">
        <f>'TTUHSCEP FGD'!$K$80</f>
        <v>0</v>
      </c>
      <c r="L750" s="357">
        <f>'TTUHSCEP FGD'!$L$80</f>
        <v>0</v>
      </c>
      <c r="M750" s="357">
        <f>'TTUHSCEP FGD'!$M$80</f>
        <v>-27703730</v>
      </c>
      <c r="O750" s="341"/>
    </row>
    <row r="751" spans="1:15" hidden="1" outlineLevel="1">
      <c r="B751" s="392" t="str">
        <f>'UNTHSC FGD'!$B$2</f>
        <v>University of North Texas Health Science Center at Fort Worth</v>
      </c>
      <c r="C751" s="151"/>
      <c r="D751" s="357">
        <f>'UNTHSC FGD'!$D$80</f>
        <v>0</v>
      </c>
      <c r="E751" s="357">
        <f>'UNTHSC FGD'!$E$80</f>
        <v>0</v>
      </c>
      <c r="F751" s="357">
        <f>'UNTHSC FGD'!$F$80</f>
        <v>0</v>
      </c>
      <c r="G751" s="357">
        <f>'UNTHSC FGD'!$G$80</f>
        <v>0</v>
      </c>
      <c r="H751" s="357">
        <f>'UNTHSC FGD'!$H$80</f>
        <v>0</v>
      </c>
      <c r="I751" s="357">
        <f>'UNTHSC FGD'!$I$80</f>
        <v>0</v>
      </c>
      <c r="J751" s="357">
        <f>'UNTHSC FGD'!$J$80</f>
        <v>0</v>
      </c>
      <c r="K751" s="357">
        <f>'UNTHSC FGD'!$K$80</f>
        <v>0</v>
      </c>
      <c r="L751" s="357">
        <f>'UNTHSC FGD'!$L$80</f>
        <v>-69392043</v>
      </c>
      <c r="M751" s="357">
        <f>'UNTHSC FGD'!$M$80</f>
        <v>-69392043</v>
      </c>
      <c r="O751" s="341"/>
    </row>
    <row r="752" spans="1:15" collapsed="1">
      <c r="A752" s="147">
        <v>63</v>
      </c>
      <c r="B752" s="149" t="s">
        <v>63</v>
      </c>
      <c r="D752" s="355">
        <f t="shared" ref="D752:M752" si="55">SUM(D740:D751)</f>
        <v>0</v>
      </c>
      <c r="E752" s="355">
        <f t="shared" si="55"/>
        <v>0</v>
      </c>
      <c r="F752" s="355">
        <f t="shared" si="55"/>
        <v>0</v>
      </c>
      <c r="G752" s="355">
        <f t="shared" si="55"/>
        <v>0</v>
      </c>
      <c r="H752" s="355">
        <f t="shared" si="55"/>
        <v>0</v>
      </c>
      <c r="I752" s="355">
        <f t="shared" si="55"/>
        <v>0</v>
      </c>
      <c r="J752" s="355">
        <f t="shared" si="55"/>
        <v>-1128983843</v>
      </c>
      <c r="K752" s="355">
        <f t="shared" si="55"/>
        <v>0</v>
      </c>
      <c r="L752" s="355">
        <f t="shared" si="55"/>
        <v>-69392043</v>
      </c>
      <c r="M752" s="357">
        <f t="shared" si="55"/>
        <v>-1198375886</v>
      </c>
      <c r="O752" s="305"/>
    </row>
    <row r="753" spans="1:15" hidden="1" outlineLevel="1">
      <c r="B753" s="392" t="str">
        <f>'AUSM FGD'!$B$2</f>
        <v>The University of Texas at Austin Medical School (M)</v>
      </c>
      <c r="D753" s="355">
        <f>'AUSM FGD'!$D$81</f>
        <v>-25482597</v>
      </c>
      <c r="E753" s="355">
        <f>'AUSM FGD'!$E$81</f>
        <v>2174505</v>
      </c>
      <c r="F753" s="355">
        <f>'AUSM FGD'!$F$81</f>
        <v>0</v>
      </c>
      <c r="G753" s="355">
        <f>'AUSM FGD'!$G$81</f>
        <v>-710967</v>
      </c>
      <c r="H753" s="355">
        <f>'AUSM FGD'!$H$81</f>
        <v>0</v>
      </c>
      <c r="I753" s="355">
        <f>'AUSM FGD'!$I$81</f>
        <v>104704</v>
      </c>
      <c r="J753" s="355">
        <f>'AUSM FGD'!$J$81</f>
        <v>5200</v>
      </c>
      <c r="K753" s="355">
        <f>'AUSM FGD'!$K$81</f>
        <v>0</v>
      </c>
      <c r="L753" s="355">
        <f>'AUSM FGD'!$L$81</f>
        <v>0</v>
      </c>
      <c r="M753" s="357">
        <f>'AUSM FGD'!$M$81</f>
        <v>-23909155</v>
      </c>
      <c r="O753" s="305"/>
    </row>
    <row r="754" spans="1:15" hidden="1" outlineLevel="1">
      <c r="B754" s="392" t="str">
        <f>'HSH FGD'!$B$2</f>
        <v>The University of Texas Health Science Center at Houston</v>
      </c>
      <c r="D754" s="355">
        <f>'HSH FGD'!$D$81</f>
        <v>-2198220</v>
      </c>
      <c r="E754" s="355">
        <f>'HSH FGD'!$E$81</f>
        <v>-14387785</v>
      </c>
      <c r="F754" s="355">
        <f>'HSH FGD'!$F$81</f>
        <v>-23596418</v>
      </c>
      <c r="G754" s="355">
        <f>'HSH FGD'!$G$81</f>
        <v>-67946061</v>
      </c>
      <c r="H754" s="355">
        <f>'HSH FGD'!$H$81</f>
        <v>-77005</v>
      </c>
      <c r="I754" s="355">
        <f>'HSH FGD'!$I$81</f>
        <v>102316973</v>
      </c>
      <c r="J754" s="355">
        <f>'HSH FGD'!$J$81</f>
        <v>8209734</v>
      </c>
      <c r="K754" s="355">
        <f>'HSH FGD'!$K$81</f>
        <v>0</v>
      </c>
      <c r="L754" s="355">
        <f>'HSH FGD'!$L$81</f>
        <v>-117003</v>
      </c>
      <c r="M754" s="357">
        <f>'HSH FGD'!$M$81</f>
        <v>2204215</v>
      </c>
      <c r="O754" s="305"/>
    </row>
    <row r="755" spans="1:15" hidden="1" outlineLevel="1">
      <c r="B755" s="392" t="str">
        <f>'HSSA FGD'!$B$2</f>
        <v>The University of Texas Health Science Center at San Antonio</v>
      </c>
      <c r="D755" s="355">
        <f>'HSSA FGD'!$D$81</f>
        <v>23677036</v>
      </c>
      <c r="E755" s="355">
        <f>'HSSA FGD'!$E$81</f>
        <v>-18087240</v>
      </c>
      <c r="F755" s="355">
        <f>'HSSA FGD'!$F$81</f>
        <v>-464313</v>
      </c>
      <c r="G755" s="355">
        <f>'HSSA FGD'!$G$81</f>
        <v>-8778082</v>
      </c>
      <c r="H755" s="355">
        <f>'HSSA FGD'!$H$81</f>
        <v>4211</v>
      </c>
      <c r="I755" s="355">
        <f>'HSSA FGD'!$I$81</f>
        <v>5753296</v>
      </c>
      <c r="J755" s="355">
        <f>'HSSA FGD'!$J$81</f>
        <v>-734028</v>
      </c>
      <c r="K755" s="355">
        <f>'HSSA FGD'!$K$81</f>
        <v>0</v>
      </c>
      <c r="L755" s="355">
        <f>'HSSA FGD'!$L$81</f>
        <v>949498</v>
      </c>
      <c r="M755" s="357">
        <f>'HSSA FGD'!$M$81</f>
        <v>2320378</v>
      </c>
      <c r="O755" s="305"/>
    </row>
    <row r="756" spans="1:15" hidden="1" outlineLevel="1">
      <c r="B756" s="392" t="str">
        <f>'MBG FGD'!$B$2</f>
        <v>The University of Texas Medical Branch at Galveston</v>
      </c>
      <c r="D756" s="355">
        <f>'MBG FGD'!$D$81</f>
        <v>-126571992</v>
      </c>
      <c r="E756" s="355">
        <f>'MBG FGD'!$E$81</f>
        <v>65683863</v>
      </c>
      <c r="F756" s="355">
        <f>'MBG FGD'!$F$81</f>
        <v>-230000</v>
      </c>
      <c r="G756" s="355">
        <f>'MBG FGD'!$G$81</f>
        <v>-3743390</v>
      </c>
      <c r="H756" s="355">
        <f>'MBG FGD'!$H$81</f>
        <v>42765</v>
      </c>
      <c r="I756" s="355">
        <f>'MBG FGD'!$I$81</f>
        <v>4098694</v>
      </c>
      <c r="J756" s="355">
        <f>'MBG FGD'!$J$81</f>
        <v>61965621</v>
      </c>
      <c r="K756" s="355">
        <f>'MBG FGD'!$K$81</f>
        <v>0</v>
      </c>
      <c r="L756" s="355">
        <f>'MBG FGD'!$L$81</f>
        <v>-308472</v>
      </c>
      <c r="M756" s="357">
        <f>'MBG FGD'!$M$81</f>
        <v>937089</v>
      </c>
      <c r="O756" s="305"/>
    </row>
    <row r="757" spans="1:15" hidden="1" outlineLevel="1">
      <c r="B757" s="392" t="str">
        <f>'MDA FGD'!$B$2</f>
        <v>The University of Texas M.D. Anderson Cancer Center</v>
      </c>
      <c r="D757" s="355">
        <f>'MDA FGD'!$D$81</f>
        <v>-370021485</v>
      </c>
      <c r="E757" s="355">
        <f>'MDA FGD'!$E$81</f>
        <v>7523567</v>
      </c>
      <c r="F757" s="355">
        <f>'MDA FGD'!$F$81</f>
        <v>-743</v>
      </c>
      <c r="G757" s="355">
        <f>'MDA FGD'!$G$81</f>
        <v>9582886</v>
      </c>
      <c r="H757" s="355">
        <f>'MDA FGD'!$H$81</f>
        <v>0</v>
      </c>
      <c r="I757" s="355">
        <f>'MDA FGD'!$I$81</f>
        <v>7586931</v>
      </c>
      <c r="J757" s="355">
        <f>'MDA FGD'!$J$81</f>
        <v>401557776</v>
      </c>
      <c r="K757" s="355">
        <f>'MDA FGD'!$K$81</f>
        <v>0</v>
      </c>
      <c r="L757" s="355">
        <f>'MDA FGD'!$L$81</f>
        <v>-1257865</v>
      </c>
      <c r="M757" s="357">
        <f>'MDA FGD'!$M$81</f>
        <v>54971067</v>
      </c>
      <c r="O757" s="305"/>
    </row>
    <row r="758" spans="1:15" hidden="1" outlineLevel="1">
      <c r="B758" s="392" t="str">
        <f>'RGVM FGD'!$B$2</f>
        <v>The University of Texas Rio Grande Valley Medical School (M)</v>
      </c>
      <c r="D758" s="355">
        <f>'RGVM FGD'!$D$81</f>
        <v>-881771</v>
      </c>
      <c r="E758" s="355">
        <f>'RGVM FGD'!$E$81</f>
        <v>1441874</v>
      </c>
      <c r="F758" s="355">
        <f>'RGVM FGD'!$F$81</f>
        <v>-43670</v>
      </c>
      <c r="G758" s="355">
        <f>'RGVM FGD'!$G$81</f>
        <v>1426253</v>
      </c>
      <c r="H758" s="355">
        <f>'RGVM FGD'!$H$81</f>
        <v>0</v>
      </c>
      <c r="I758" s="355">
        <f>'RGVM FGD'!$I$81</f>
        <v>7137</v>
      </c>
      <c r="J758" s="355">
        <f>'RGVM FGD'!$J$81</f>
        <v>-2084336</v>
      </c>
      <c r="K758" s="355">
        <f>'RGVM FGD'!$K$81</f>
        <v>0</v>
      </c>
      <c r="L758" s="355">
        <f>'RGVM FGD'!$L$81</f>
        <v>0</v>
      </c>
      <c r="M758" s="357">
        <f>'RGVM FGD'!$M$81</f>
        <v>-134513</v>
      </c>
      <c r="O758" s="305"/>
    </row>
    <row r="759" spans="1:15" hidden="1" outlineLevel="1">
      <c r="B759" s="392" t="str">
        <f>'SWM FGD'!$B$2</f>
        <v>The University of Texas Southwestern Medical Center</v>
      </c>
      <c r="D759" s="355">
        <f>'SWM FGD'!$D$81</f>
        <v>363429</v>
      </c>
      <c r="E759" s="355">
        <f>'SWM FGD'!$E$81</f>
        <v>-85542464</v>
      </c>
      <c r="F759" s="355">
        <f>'SWM FGD'!$F$81</f>
        <v>9693902</v>
      </c>
      <c r="G759" s="355">
        <f>'SWM FGD'!$G$81</f>
        <v>-8458898</v>
      </c>
      <c r="H759" s="355">
        <f>'SWM FGD'!$H$81</f>
        <v>-1149801</v>
      </c>
      <c r="I759" s="355">
        <f>'SWM FGD'!$I$81</f>
        <v>14059002</v>
      </c>
      <c r="J759" s="355">
        <f>'SWM FGD'!$J$81</f>
        <v>76720215</v>
      </c>
      <c r="K759" s="355">
        <f>'SWM FGD'!$K$81</f>
        <v>0</v>
      </c>
      <c r="L759" s="355">
        <f>'SWM FGD'!$L$81</f>
        <v>-540101</v>
      </c>
      <c r="M759" s="357">
        <f>'SWM FGD'!$M$81</f>
        <v>5145284</v>
      </c>
      <c r="O759" s="305"/>
    </row>
    <row r="760" spans="1:15" hidden="1" outlineLevel="1">
      <c r="B760" s="392" t="str">
        <f>'TAMHSC FGD'!$B$2</f>
        <v>Texas A&amp;M University System Health Science Center</v>
      </c>
      <c r="D760" s="355">
        <f>'TAMHSC FGD'!$D$81</f>
        <v>749698</v>
      </c>
      <c r="E760" s="355">
        <f>'TAMHSC FGD'!$E$81</f>
        <v>-11572614</v>
      </c>
      <c r="F760" s="355">
        <f>'TAMHSC FGD'!$F$81</f>
        <v>115888</v>
      </c>
      <c r="G760" s="355">
        <f>'TAMHSC FGD'!$G$81</f>
        <v>257261</v>
      </c>
      <c r="H760" s="355">
        <f>'TAMHSC FGD'!$H$81</f>
        <v>0</v>
      </c>
      <c r="I760" s="355">
        <f>'TAMHSC FGD'!$I$81</f>
        <v>785409</v>
      </c>
      <c r="J760" s="355">
        <f>'TAMHSC FGD'!$J$81</f>
        <v>429342</v>
      </c>
      <c r="K760" s="355">
        <f>'TAMHSC FGD'!$K$81</f>
        <v>0</v>
      </c>
      <c r="L760" s="355">
        <f>'TAMHSC FGD'!$L$81</f>
        <v>0</v>
      </c>
      <c r="M760" s="357">
        <f>'TAMHSC FGD'!$M$81</f>
        <v>-9235016</v>
      </c>
      <c r="O760" s="305"/>
    </row>
    <row r="761" spans="1:15" hidden="1" outlineLevel="1">
      <c r="B761" s="392" t="str">
        <f>'THC FGD'!$B$2</f>
        <v>The University of Texas Health Science Center at Tyler</v>
      </c>
      <c r="D761" s="355">
        <f>'THC FGD'!$D$81</f>
        <v>35860537</v>
      </c>
      <c r="E761" s="355">
        <f>'THC FGD'!$E$81</f>
        <v>-31386613</v>
      </c>
      <c r="F761" s="355">
        <f>'THC FGD'!$F$81</f>
        <v>0</v>
      </c>
      <c r="G761" s="355">
        <f>'THC FGD'!$G$81</f>
        <v>-1839108</v>
      </c>
      <c r="H761" s="355">
        <f>'THC FGD'!$H$81</f>
        <v>0</v>
      </c>
      <c r="I761" s="355">
        <f>'THC FGD'!$I$81</f>
        <v>24463</v>
      </c>
      <c r="J761" s="355">
        <f>'THC FGD'!$J$81</f>
        <v>-2407360</v>
      </c>
      <c r="K761" s="355">
        <f>'THC FGD'!$K$81</f>
        <v>0</v>
      </c>
      <c r="L761" s="355">
        <f>'THC FGD'!$L$81</f>
        <v>-37535</v>
      </c>
      <c r="M761" s="357">
        <f>'THC FGD'!$M$81</f>
        <v>214384</v>
      </c>
      <c r="O761" s="305"/>
    </row>
    <row r="762" spans="1:15" hidden="1" outlineLevel="1">
      <c r="B762" s="392" t="str">
        <f>'TTUHSC FGD'!$B$2</f>
        <v>Texas Tech University Health Sciences Center</v>
      </c>
      <c r="D762" s="355">
        <f>'TTUHSC FGD'!$D$81</f>
        <v>-23229094</v>
      </c>
      <c r="E762" s="355">
        <f>'TTUHSC FGD'!$E$81</f>
        <v>5600149</v>
      </c>
      <c r="F762" s="355">
        <f>'TTUHSC FGD'!$F$81</f>
        <v>-10000</v>
      </c>
      <c r="G762" s="355">
        <f>'TTUHSC FGD'!$G$81</f>
        <v>-4298757</v>
      </c>
      <c r="H762" s="355">
        <f>'TTUHSC FGD'!$H$81</f>
        <v>-20588</v>
      </c>
      <c r="I762" s="355">
        <f>'TTUHSC FGD'!$I$81</f>
        <v>55193</v>
      </c>
      <c r="J762" s="355">
        <f>'TTUHSC FGD'!$J$81</f>
        <v>22536665</v>
      </c>
      <c r="K762" s="355">
        <f>'TTUHSC FGD'!$K$81</f>
        <v>0</v>
      </c>
      <c r="L762" s="355">
        <f>'TTUHSC FGD'!$L$81</f>
        <v>0</v>
      </c>
      <c r="M762" s="357">
        <f>'TTUHSC FGD'!$M$81</f>
        <v>633568</v>
      </c>
      <c r="O762" s="305"/>
    </row>
    <row r="763" spans="1:15" hidden="1" outlineLevel="1">
      <c r="B763" s="392" t="str">
        <f>'TTUHSCEP FGD'!$B$2</f>
        <v>Texas Tech University Health Sciences Center at El Paso</v>
      </c>
      <c r="D763" s="355">
        <f>'TTUHSCEP FGD'!$D$81</f>
        <v>-2685331</v>
      </c>
      <c r="E763" s="355">
        <f>'TTUHSCEP FGD'!$E$81</f>
        <v>829369</v>
      </c>
      <c r="F763" s="355">
        <f>'TTUHSCEP FGD'!$F$81</f>
        <v>0</v>
      </c>
      <c r="G763" s="355">
        <f>'TTUHSCEP FGD'!$G$81</f>
        <v>787304</v>
      </c>
      <c r="H763" s="355">
        <f>'TTUHSCEP FGD'!$H$81</f>
        <v>0</v>
      </c>
      <c r="I763" s="355">
        <f>'TTUHSCEP FGD'!$I$81</f>
        <v>0</v>
      </c>
      <c r="J763" s="355">
        <f>'TTUHSCEP FGD'!$J$81</f>
        <v>3194245</v>
      </c>
      <c r="K763" s="355">
        <f>'TTUHSCEP FGD'!$K$81</f>
        <v>0</v>
      </c>
      <c r="L763" s="355">
        <f>'TTUHSCEP FGD'!$L$81</f>
        <v>0</v>
      </c>
      <c r="M763" s="357">
        <f>'TTUHSCEP FGD'!$M$81</f>
        <v>2125587</v>
      </c>
      <c r="O763" s="305"/>
    </row>
    <row r="764" spans="1:15" hidden="1" outlineLevel="1">
      <c r="B764" s="392" t="str">
        <f>'UNTHSC FGD'!$B$2</f>
        <v>University of North Texas Health Science Center at Fort Worth</v>
      </c>
      <c r="D764" s="355">
        <f>'UNTHSC FGD'!$D$81</f>
        <v>-23753252</v>
      </c>
      <c r="E764" s="355">
        <f>'UNTHSC FGD'!$E$81</f>
        <v>58978522</v>
      </c>
      <c r="F764" s="355">
        <f>'UNTHSC FGD'!$F$81</f>
        <v>0</v>
      </c>
      <c r="G764" s="355">
        <f>'UNTHSC FGD'!$G$81</f>
        <v>3296941</v>
      </c>
      <c r="H764" s="355">
        <f>'UNTHSC FGD'!$H$81</f>
        <v>813667</v>
      </c>
      <c r="I764" s="355">
        <f>'UNTHSC FGD'!$I$81</f>
        <v>-1621237</v>
      </c>
      <c r="J764" s="355">
        <f>'UNTHSC FGD'!$J$81</f>
        <v>0</v>
      </c>
      <c r="K764" s="355">
        <f>'UNTHSC FGD'!$K$81</f>
        <v>3189149</v>
      </c>
      <c r="L764" s="355">
        <f>'UNTHSC FGD'!$L$81</f>
        <v>76265192</v>
      </c>
      <c r="M764" s="357">
        <f>'UNTHSC FGD'!$M$81</f>
        <v>117168982</v>
      </c>
      <c r="O764" s="305"/>
    </row>
    <row r="765" spans="1:15" collapsed="1">
      <c r="A765" s="147">
        <v>64</v>
      </c>
      <c r="B765" s="157" t="s">
        <v>615</v>
      </c>
      <c r="D765" s="355">
        <f t="shared" ref="D765:M765" si="56">SUM(D753:D764)</f>
        <v>-514173042</v>
      </c>
      <c r="E765" s="355">
        <f t="shared" si="56"/>
        <v>-18744867</v>
      </c>
      <c r="F765" s="355">
        <f t="shared" si="56"/>
        <v>-14535354</v>
      </c>
      <c r="G765" s="355">
        <f t="shared" si="56"/>
        <v>-80424618</v>
      </c>
      <c r="H765" s="355">
        <f t="shared" si="56"/>
        <v>-386751</v>
      </c>
      <c r="I765" s="355">
        <f t="shared" si="56"/>
        <v>133170565</v>
      </c>
      <c r="J765" s="355">
        <f t="shared" si="56"/>
        <v>569393074</v>
      </c>
      <c r="K765" s="355">
        <f t="shared" si="56"/>
        <v>3189149</v>
      </c>
      <c r="L765" s="355">
        <f t="shared" si="56"/>
        <v>74953714</v>
      </c>
      <c r="M765" s="357">
        <f t="shared" si="56"/>
        <v>152441870</v>
      </c>
      <c r="O765" s="305"/>
    </row>
    <row r="766" spans="1:15" hidden="1" outlineLevel="1">
      <c r="B766" s="392" t="str">
        <f>'AUSM FGD'!$B$2</f>
        <v>The University of Texas at Austin Medical School (M)</v>
      </c>
      <c r="D766" s="355">
        <f>'AUSM FGD'!$D$82</f>
        <v>0</v>
      </c>
      <c r="E766" s="355">
        <f>'AUSM FGD'!$E$82</f>
        <v>0</v>
      </c>
      <c r="F766" s="355">
        <f>'AUSM FGD'!$F$82</f>
        <v>0</v>
      </c>
      <c r="G766" s="355">
        <f>'AUSM FGD'!$G$82</f>
        <v>0</v>
      </c>
      <c r="H766" s="355">
        <f>'AUSM FGD'!$H$82</f>
        <v>0</v>
      </c>
      <c r="I766" s="355">
        <f>'AUSM FGD'!$I$82</f>
        <v>0</v>
      </c>
      <c r="J766" s="355">
        <f>'AUSM FGD'!$J$82</f>
        <v>6200000</v>
      </c>
      <c r="K766" s="355">
        <f>'AUSM FGD'!$K$82</f>
        <v>0</v>
      </c>
      <c r="L766" s="355">
        <f>'AUSM FGD'!$L$82</f>
        <v>0</v>
      </c>
      <c r="M766" s="357">
        <f>'AUSM FGD'!$M$82</f>
        <v>6200000</v>
      </c>
      <c r="O766" s="305"/>
    </row>
    <row r="767" spans="1:15" hidden="1" outlineLevel="1">
      <c r="B767" s="392" t="str">
        <f>'HSH FGD'!$B$2</f>
        <v>The University of Texas Health Science Center at Houston</v>
      </c>
      <c r="D767" s="355">
        <f>'HSH FGD'!$D$82</f>
        <v>0</v>
      </c>
      <c r="E767" s="355">
        <f>'HSH FGD'!$E$82</f>
        <v>0</v>
      </c>
      <c r="F767" s="355">
        <f>'HSH FGD'!$F$82</f>
        <v>0</v>
      </c>
      <c r="G767" s="355">
        <f>'HSH FGD'!$G$82</f>
        <v>0</v>
      </c>
      <c r="H767" s="355">
        <f>'HSH FGD'!$H$82</f>
        <v>0</v>
      </c>
      <c r="I767" s="355">
        <f>'HSH FGD'!$I$82</f>
        <v>0</v>
      </c>
      <c r="J767" s="355">
        <f>'HSH FGD'!$J$82</f>
        <v>29186732</v>
      </c>
      <c r="K767" s="355">
        <f>'HSH FGD'!$K$82</f>
        <v>0</v>
      </c>
      <c r="L767" s="355">
        <f>'HSH FGD'!$L$82</f>
        <v>0</v>
      </c>
      <c r="M767" s="357">
        <f>'HSH FGD'!$M$82</f>
        <v>29186732</v>
      </c>
      <c r="O767" s="305"/>
    </row>
    <row r="768" spans="1:15" hidden="1" outlineLevel="1">
      <c r="B768" s="392" t="str">
        <f>'HSSA FGD'!$B$2</f>
        <v>The University of Texas Health Science Center at San Antonio</v>
      </c>
      <c r="D768" s="355">
        <f>'HSSA FGD'!$D$82</f>
        <v>0</v>
      </c>
      <c r="E768" s="355">
        <f>'HSSA FGD'!$E$82</f>
        <v>0</v>
      </c>
      <c r="F768" s="355">
        <f>'HSSA FGD'!$F$82</f>
        <v>0</v>
      </c>
      <c r="G768" s="355">
        <f>'HSSA FGD'!$G$82</f>
        <v>0</v>
      </c>
      <c r="H768" s="355">
        <f>'HSSA FGD'!$H$82</f>
        <v>0</v>
      </c>
      <c r="I768" s="355">
        <f>'HSSA FGD'!$I$82</f>
        <v>0</v>
      </c>
      <c r="J768" s="355">
        <f>'HSSA FGD'!$J$82</f>
        <v>70419687</v>
      </c>
      <c r="K768" s="355">
        <f>'HSSA FGD'!$K$82</f>
        <v>0</v>
      </c>
      <c r="L768" s="355">
        <f>'HSSA FGD'!$L$82</f>
        <v>0</v>
      </c>
      <c r="M768" s="357">
        <f>'HSSA FGD'!$M$82</f>
        <v>70419687</v>
      </c>
      <c r="O768" s="305"/>
    </row>
    <row r="769" spans="1:15" hidden="1" outlineLevel="1">
      <c r="B769" s="392" t="str">
        <f>'MBG FGD'!$B$2</f>
        <v>The University of Texas Medical Branch at Galveston</v>
      </c>
      <c r="D769" s="355">
        <f>'MBG FGD'!$D$82</f>
        <v>0</v>
      </c>
      <c r="E769" s="355">
        <f>'MBG FGD'!$E$82</f>
        <v>0</v>
      </c>
      <c r="F769" s="355">
        <f>'MBG FGD'!$F$82</f>
        <v>0</v>
      </c>
      <c r="G769" s="355">
        <f>'MBG FGD'!$G$82</f>
        <v>0</v>
      </c>
      <c r="H769" s="355">
        <f>'MBG FGD'!$H$82</f>
        <v>0</v>
      </c>
      <c r="I769" s="355">
        <f>'MBG FGD'!$I$82</f>
        <v>0</v>
      </c>
      <c r="J769" s="355">
        <f>'MBG FGD'!$J$82</f>
        <v>140645940</v>
      </c>
      <c r="K769" s="355">
        <f>'MBG FGD'!$K$82</f>
        <v>0</v>
      </c>
      <c r="L769" s="355">
        <f>'MBG FGD'!$L$82</f>
        <v>0</v>
      </c>
      <c r="M769" s="357">
        <f>'MBG FGD'!$M$82</f>
        <v>140645940</v>
      </c>
      <c r="O769" s="305"/>
    </row>
    <row r="770" spans="1:15" hidden="1" outlineLevel="1">
      <c r="B770" s="392" t="str">
        <f>'MDA FGD'!$B$2</f>
        <v>The University of Texas M.D. Anderson Cancer Center</v>
      </c>
      <c r="D770" s="355">
        <f>'MDA FGD'!$D$82</f>
        <v>0</v>
      </c>
      <c r="E770" s="355">
        <f>'MDA FGD'!$E$82</f>
        <v>0</v>
      </c>
      <c r="F770" s="355">
        <f>'MDA FGD'!$F$82</f>
        <v>0</v>
      </c>
      <c r="G770" s="355">
        <f>'MDA FGD'!$G$82</f>
        <v>0</v>
      </c>
      <c r="H770" s="355">
        <f>'MDA FGD'!$H$82</f>
        <v>0</v>
      </c>
      <c r="I770" s="355">
        <f>'MDA FGD'!$I$82</f>
        <v>0</v>
      </c>
      <c r="J770" s="355">
        <f>'MDA FGD'!$J$82</f>
        <v>55322379</v>
      </c>
      <c r="K770" s="355">
        <f>'MDA FGD'!$K$82</f>
        <v>0</v>
      </c>
      <c r="L770" s="355">
        <f>'MDA FGD'!$L$82</f>
        <v>0</v>
      </c>
      <c r="M770" s="357">
        <f>'MDA FGD'!$M$82</f>
        <v>55322379</v>
      </c>
      <c r="O770" s="305"/>
    </row>
    <row r="771" spans="1:15" hidden="1" outlineLevel="1">
      <c r="B771" s="392" t="str">
        <f>'RGVM FGD'!$B$2</f>
        <v>The University of Texas Rio Grande Valley Medical School (M)</v>
      </c>
      <c r="D771" s="355">
        <f>'RGVM FGD'!$D$82</f>
        <v>0</v>
      </c>
      <c r="E771" s="355">
        <f>'RGVM FGD'!$E$82</f>
        <v>0</v>
      </c>
      <c r="F771" s="355">
        <f>'RGVM FGD'!$F$82</f>
        <v>0</v>
      </c>
      <c r="G771" s="355">
        <f>'RGVM FGD'!$G$82</f>
        <v>0</v>
      </c>
      <c r="H771" s="355">
        <f>'RGVM FGD'!$H$82</f>
        <v>0</v>
      </c>
      <c r="I771" s="355">
        <f>'RGVM FGD'!$I$82</f>
        <v>0</v>
      </c>
      <c r="J771" s="355">
        <f>'RGVM FGD'!$J$82</f>
        <v>21046673</v>
      </c>
      <c r="K771" s="355">
        <f>'RGVM FGD'!$K$82</f>
        <v>0</v>
      </c>
      <c r="L771" s="355">
        <f>'RGVM FGD'!$L$82</f>
        <v>0</v>
      </c>
      <c r="M771" s="357">
        <f>'RGVM FGD'!$M$82</f>
        <v>21046673</v>
      </c>
      <c r="O771" s="305"/>
    </row>
    <row r="772" spans="1:15" hidden="1" outlineLevel="1">
      <c r="B772" s="392" t="str">
        <f>'SWM FGD'!$B$2</f>
        <v>The University of Texas Southwestern Medical Center</v>
      </c>
      <c r="D772" s="355">
        <f>'SWM FGD'!$D$82</f>
        <v>0</v>
      </c>
      <c r="E772" s="355">
        <f>'SWM FGD'!$E$82</f>
        <v>0</v>
      </c>
      <c r="F772" s="355">
        <f>'SWM FGD'!$F$82</f>
        <v>0</v>
      </c>
      <c r="G772" s="355">
        <f>'SWM FGD'!$G$82</f>
        <v>0</v>
      </c>
      <c r="H772" s="355">
        <f>'SWM FGD'!$H$82</f>
        <v>0</v>
      </c>
      <c r="I772" s="355">
        <f>'SWM FGD'!$I$82</f>
        <v>0</v>
      </c>
      <c r="J772" s="355">
        <f>'SWM FGD'!$J$82</f>
        <v>93897679</v>
      </c>
      <c r="K772" s="355">
        <f>'SWM FGD'!$K$82</f>
        <v>0</v>
      </c>
      <c r="L772" s="355">
        <f>'SWM FGD'!$L$82</f>
        <v>0</v>
      </c>
      <c r="M772" s="357">
        <f>'SWM FGD'!$M$82</f>
        <v>93897679</v>
      </c>
      <c r="O772" s="305"/>
    </row>
    <row r="773" spans="1:15" hidden="1" outlineLevel="1">
      <c r="B773" s="392" t="str">
        <f>'TAMHSC FGD'!$B$2</f>
        <v>Texas A&amp;M University System Health Science Center</v>
      </c>
      <c r="D773" s="355">
        <f>'TAMHSC FGD'!$D$82</f>
        <v>0</v>
      </c>
      <c r="E773" s="355">
        <f>'TAMHSC FGD'!$E$82</f>
        <v>0</v>
      </c>
      <c r="F773" s="355">
        <f>'TAMHSC FGD'!$F$82</f>
        <v>0</v>
      </c>
      <c r="G773" s="355">
        <f>'TAMHSC FGD'!$G$82</f>
        <v>0</v>
      </c>
      <c r="H773" s="355">
        <f>'TAMHSC FGD'!$H$82</f>
        <v>0</v>
      </c>
      <c r="I773" s="355">
        <f>'TAMHSC FGD'!$I$82</f>
        <v>0</v>
      </c>
      <c r="J773" s="355">
        <f>'TAMHSC FGD'!$J$82</f>
        <v>0</v>
      </c>
      <c r="K773" s="355">
        <f>'TAMHSC FGD'!$K$82</f>
        <v>0</v>
      </c>
      <c r="L773" s="355">
        <f>'TAMHSC FGD'!$L$82</f>
        <v>0</v>
      </c>
      <c r="M773" s="357">
        <f>'TAMHSC FGD'!$M$82</f>
        <v>0</v>
      </c>
      <c r="O773" s="305"/>
    </row>
    <row r="774" spans="1:15" hidden="1" outlineLevel="1">
      <c r="B774" s="392" t="str">
        <f>'THC FGD'!$B$2</f>
        <v>The University of Texas Health Science Center at Tyler</v>
      </c>
      <c r="D774" s="355">
        <f>'THC FGD'!$D$82</f>
        <v>0</v>
      </c>
      <c r="E774" s="355">
        <f>'THC FGD'!$E$82</f>
        <v>0</v>
      </c>
      <c r="F774" s="355">
        <f>'THC FGD'!$F$82</f>
        <v>0</v>
      </c>
      <c r="G774" s="355">
        <f>'THC FGD'!$G$82</f>
        <v>0</v>
      </c>
      <c r="H774" s="355">
        <f>'THC FGD'!$H$82</f>
        <v>0</v>
      </c>
      <c r="I774" s="355">
        <f>'THC FGD'!$I$82</f>
        <v>0</v>
      </c>
      <c r="J774" s="355">
        <f>'THC FGD'!$J$82</f>
        <v>32034979</v>
      </c>
      <c r="K774" s="355">
        <f>'THC FGD'!$K$82</f>
        <v>0</v>
      </c>
      <c r="L774" s="355">
        <f>'THC FGD'!$L$82</f>
        <v>0</v>
      </c>
      <c r="M774" s="357">
        <f>'THC FGD'!$M$82</f>
        <v>32034979</v>
      </c>
      <c r="O774" s="305"/>
    </row>
    <row r="775" spans="1:15" hidden="1" outlineLevel="1">
      <c r="B775" s="392" t="str">
        <f>'TTUHSC FGD'!$B$2</f>
        <v>Texas Tech University Health Sciences Center</v>
      </c>
      <c r="D775" s="355">
        <f>'TTUHSC FGD'!$D$82</f>
        <v>0</v>
      </c>
      <c r="E775" s="355">
        <f>'TTUHSC FGD'!$E$82</f>
        <v>0</v>
      </c>
      <c r="F775" s="355">
        <f>'TTUHSC FGD'!$F$82</f>
        <v>0</v>
      </c>
      <c r="G775" s="355">
        <f>'TTUHSC FGD'!$G$82</f>
        <v>0</v>
      </c>
      <c r="H775" s="355">
        <f>'TTUHSC FGD'!$H$82</f>
        <v>0</v>
      </c>
      <c r="I775" s="355">
        <f>'TTUHSC FGD'!$I$82</f>
        <v>0</v>
      </c>
      <c r="J775" s="355">
        <f>'TTUHSC FGD'!$J$82</f>
        <v>37138691</v>
      </c>
      <c r="K775" s="355">
        <f>'TTUHSC FGD'!$K$82</f>
        <v>0</v>
      </c>
      <c r="L775" s="355">
        <f>'TTUHSC FGD'!$L$82</f>
        <v>0</v>
      </c>
      <c r="M775" s="357">
        <f>'TTUHSC FGD'!$M$82</f>
        <v>37138691</v>
      </c>
      <c r="O775" s="305"/>
    </row>
    <row r="776" spans="1:15" hidden="1" outlineLevel="1">
      <c r="B776" s="392" t="str">
        <f>'TTUHSCEP FGD'!$B$2</f>
        <v>Texas Tech University Health Sciences Center at El Paso</v>
      </c>
      <c r="D776" s="355">
        <f>'TTUHSCEP FGD'!$D$82</f>
        <v>0</v>
      </c>
      <c r="E776" s="355">
        <f>'TTUHSCEP FGD'!$E$82</f>
        <v>0</v>
      </c>
      <c r="F776" s="355">
        <f>'TTUHSCEP FGD'!$F$82</f>
        <v>0</v>
      </c>
      <c r="G776" s="355">
        <f>'TTUHSCEP FGD'!$G$82</f>
        <v>0</v>
      </c>
      <c r="H776" s="355">
        <f>'TTUHSCEP FGD'!$H$82</f>
        <v>0</v>
      </c>
      <c r="I776" s="355">
        <f>'TTUHSCEP FGD'!$I$82</f>
        <v>0</v>
      </c>
      <c r="J776" s="355">
        <f>'TTUHSCEP FGD'!$J$82</f>
        <v>26692305</v>
      </c>
      <c r="K776" s="355">
        <f>'TTUHSCEP FGD'!$K$82</f>
        <v>0</v>
      </c>
      <c r="L776" s="355">
        <f>'TTUHSCEP FGD'!$L$82</f>
        <v>0</v>
      </c>
      <c r="M776" s="357">
        <f>'TTUHSCEP FGD'!$M$82</f>
        <v>26692305</v>
      </c>
      <c r="O776" s="305"/>
    </row>
    <row r="777" spans="1:15" hidden="1" outlineLevel="1">
      <c r="B777" s="392" t="str">
        <f>'UNTHSC FGD'!$B$2</f>
        <v>University of North Texas Health Science Center at Fort Worth</v>
      </c>
      <c r="D777" s="355">
        <f>'UNTHSC FGD'!$D$82</f>
        <v>0</v>
      </c>
      <c r="E777" s="355">
        <f>'UNTHSC FGD'!$E$82</f>
        <v>0</v>
      </c>
      <c r="F777" s="355">
        <f>'UNTHSC FGD'!$F$82</f>
        <v>0</v>
      </c>
      <c r="G777" s="355">
        <f>'UNTHSC FGD'!$G$82</f>
        <v>0</v>
      </c>
      <c r="H777" s="355">
        <f>'UNTHSC FGD'!$H$82</f>
        <v>0</v>
      </c>
      <c r="I777" s="355">
        <f>'UNTHSC FGD'!$I$82</f>
        <v>0</v>
      </c>
      <c r="J777" s="355">
        <f>'UNTHSC FGD'!$J$82</f>
        <v>0</v>
      </c>
      <c r="K777" s="355">
        <f>'UNTHSC FGD'!$K$82</f>
        <v>0</v>
      </c>
      <c r="L777" s="355">
        <f>'UNTHSC FGD'!$L$82</f>
        <v>0</v>
      </c>
      <c r="M777" s="357">
        <f>'UNTHSC FGD'!$M$82</f>
        <v>0</v>
      </c>
      <c r="O777" s="305"/>
    </row>
    <row r="778" spans="1:15" collapsed="1">
      <c r="A778" s="147">
        <v>65</v>
      </c>
      <c r="B778" s="165" t="s">
        <v>53</v>
      </c>
      <c r="C778" s="165"/>
      <c r="D778" s="355">
        <f t="shared" ref="D778:M778" si="57">SUM(D766:D777)</f>
        <v>0</v>
      </c>
      <c r="E778" s="355">
        <f t="shared" si="57"/>
        <v>0</v>
      </c>
      <c r="F778" s="355">
        <f t="shared" si="57"/>
        <v>0</v>
      </c>
      <c r="G778" s="355">
        <f t="shared" si="57"/>
        <v>0</v>
      </c>
      <c r="H778" s="355">
        <f t="shared" si="57"/>
        <v>0</v>
      </c>
      <c r="I778" s="355">
        <f t="shared" si="57"/>
        <v>0</v>
      </c>
      <c r="J778" s="355">
        <f t="shared" si="57"/>
        <v>512585065</v>
      </c>
      <c r="K778" s="355">
        <f t="shared" si="57"/>
        <v>0</v>
      </c>
      <c r="L778" s="355">
        <f t="shared" si="57"/>
        <v>0</v>
      </c>
      <c r="M778" s="357">
        <f t="shared" si="57"/>
        <v>512585065</v>
      </c>
      <c r="O778" s="305"/>
    </row>
    <row r="779" spans="1:15" hidden="1" outlineLevel="1">
      <c r="B779" s="392" t="str">
        <f>'AUSM FGD'!$B$2</f>
        <v>The University of Texas at Austin Medical School (M)</v>
      </c>
      <c r="C779" s="165"/>
      <c r="D779" s="355">
        <f>'AUSM FGD'!$D$83</f>
        <v>-19425620</v>
      </c>
      <c r="E779" s="355">
        <f>'AUSM FGD'!$E$83</f>
        <v>-521781</v>
      </c>
      <c r="F779" s="355">
        <f>'AUSM FGD'!$F$83</f>
        <v>-2937117</v>
      </c>
      <c r="G779" s="355">
        <f>'AUSM FGD'!$G$83</f>
        <v>-80650</v>
      </c>
      <c r="H779" s="355">
        <f>'AUSM FGD'!$H$83</f>
        <v>0</v>
      </c>
      <c r="I779" s="355">
        <f>'AUSM FGD'!$I$83</f>
        <v>0</v>
      </c>
      <c r="J779" s="355">
        <f>'AUSM FGD'!$J$83</f>
        <v>0</v>
      </c>
      <c r="K779" s="355">
        <f>'AUSM FGD'!$K$83</f>
        <v>0</v>
      </c>
      <c r="L779" s="355">
        <f>'AUSM FGD'!$L$83</f>
        <v>0</v>
      </c>
      <c r="M779" s="357">
        <f>'AUSM FGD'!$M$83</f>
        <v>-22965168</v>
      </c>
      <c r="O779" s="305"/>
    </row>
    <row r="780" spans="1:15" hidden="1" outlineLevel="1">
      <c r="B780" s="392" t="str">
        <f>'HSH FGD'!$B$2</f>
        <v>The University of Texas Health Science Center at Houston</v>
      </c>
      <c r="C780" s="165"/>
      <c r="D780" s="355">
        <f>'HSH FGD'!$D$83</f>
        <v>-18748950</v>
      </c>
      <c r="E780" s="355">
        <f>'HSH FGD'!$E$83</f>
        <v>-7798259</v>
      </c>
      <c r="F780" s="355">
        <f>'HSH FGD'!$F$83</f>
        <v>-4900841</v>
      </c>
      <c r="G780" s="355">
        <f>'HSH FGD'!$G$83</f>
        <v>0</v>
      </c>
      <c r="H780" s="355">
        <f>'HSH FGD'!$H$83</f>
        <v>0</v>
      </c>
      <c r="I780" s="355">
        <f>'HSH FGD'!$I$83</f>
        <v>0</v>
      </c>
      <c r="J780" s="355">
        <f>'HSH FGD'!$J$83</f>
        <v>0</v>
      </c>
      <c r="K780" s="355">
        <f>'HSH FGD'!$K$83</f>
        <v>0</v>
      </c>
      <c r="L780" s="355">
        <f>'HSH FGD'!$L$83</f>
        <v>0</v>
      </c>
      <c r="M780" s="357">
        <f>'HSH FGD'!$M$83</f>
        <v>-31448050</v>
      </c>
      <c r="O780" s="305"/>
    </row>
    <row r="781" spans="1:15" hidden="1" outlineLevel="1">
      <c r="B781" s="392" t="str">
        <f>'HSSA FGD'!$B$2</f>
        <v>The University of Texas Health Science Center at San Antonio</v>
      </c>
      <c r="C781" s="165"/>
      <c r="D781" s="355">
        <f>'HSSA FGD'!$D$83</f>
        <v>-15896575</v>
      </c>
      <c r="E781" s="355">
        <f>'HSSA FGD'!$E$83</f>
        <v>-13173084</v>
      </c>
      <c r="F781" s="355">
        <f>'HSSA FGD'!$F$83</f>
        <v>-1411098</v>
      </c>
      <c r="G781" s="355">
        <f>'HSSA FGD'!$G$83</f>
        <v>0</v>
      </c>
      <c r="H781" s="355">
        <f>'HSSA FGD'!$H$83</f>
        <v>0</v>
      </c>
      <c r="I781" s="355">
        <f>'HSSA FGD'!$I$83</f>
        <v>0</v>
      </c>
      <c r="J781" s="355">
        <f>'HSSA FGD'!$J$83</f>
        <v>0</v>
      </c>
      <c r="K781" s="355">
        <f>'HSSA FGD'!$K$83</f>
        <v>0</v>
      </c>
      <c r="L781" s="355">
        <f>'HSSA FGD'!$L$83</f>
        <v>0</v>
      </c>
      <c r="M781" s="357">
        <f>'HSSA FGD'!$M$83</f>
        <v>-30480757</v>
      </c>
      <c r="O781" s="305"/>
    </row>
    <row r="782" spans="1:15" hidden="1" outlineLevel="1">
      <c r="B782" s="392" t="str">
        <f>'MBG FGD'!$B$2</f>
        <v>The University of Texas Medical Branch at Galveston</v>
      </c>
      <c r="C782" s="165"/>
      <c r="D782" s="355">
        <f>'MBG FGD'!$D$83</f>
        <v>-67593955</v>
      </c>
      <c r="E782" s="355">
        <f>'MBG FGD'!$E$83</f>
        <v>-4987662</v>
      </c>
      <c r="F782" s="355">
        <f>'MBG FGD'!$F$83</f>
        <v>-1370566</v>
      </c>
      <c r="G782" s="355">
        <f>'MBG FGD'!$G$83</f>
        <v>0</v>
      </c>
      <c r="H782" s="355">
        <f>'MBG FGD'!$H$83</f>
        <v>0</v>
      </c>
      <c r="I782" s="355">
        <f>'MBG FGD'!$I$83</f>
        <v>0</v>
      </c>
      <c r="J782" s="355">
        <f>'MBG FGD'!$J$83</f>
        <v>-10357900</v>
      </c>
      <c r="K782" s="355">
        <f>'MBG FGD'!$K$83</f>
        <v>0</v>
      </c>
      <c r="L782" s="355">
        <f>'MBG FGD'!$L$83</f>
        <v>0</v>
      </c>
      <c r="M782" s="357">
        <f>'MBG FGD'!$M$83</f>
        <v>-84310083</v>
      </c>
      <c r="O782" s="305"/>
    </row>
    <row r="783" spans="1:15" hidden="1" outlineLevel="1">
      <c r="B783" s="392" t="str">
        <f>'MDA FGD'!$B$2</f>
        <v>The University of Texas M.D. Anderson Cancer Center</v>
      </c>
      <c r="C783" s="165"/>
      <c r="D783" s="355">
        <f>'MDA FGD'!$D$83</f>
        <v>-79218248</v>
      </c>
      <c r="E783" s="355">
        <f>'MDA FGD'!$E$83</f>
        <v>0</v>
      </c>
      <c r="F783" s="355">
        <f>'MDA FGD'!$F$83</f>
        <v>-9508534</v>
      </c>
      <c r="G783" s="355">
        <f>'MDA FGD'!$G$83</f>
        <v>0</v>
      </c>
      <c r="H783" s="355">
        <f>'MDA FGD'!$H$83</f>
        <v>0</v>
      </c>
      <c r="I783" s="355">
        <f>'MDA FGD'!$I$83</f>
        <v>0</v>
      </c>
      <c r="J783" s="355">
        <f>'MDA FGD'!$J$83</f>
        <v>0</v>
      </c>
      <c r="K783" s="355">
        <f>'MDA FGD'!$K$83</f>
        <v>0</v>
      </c>
      <c r="L783" s="355">
        <f>'MDA FGD'!$L$83</f>
        <v>0</v>
      </c>
      <c r="M783" s="357">
        <f>'MDA FGD'!$M$83</f>
        <v>-88726782</v>
      </c>
      <c r="O783" s="305"/>
    </row>
    <row r="784" spans="1:15" hidden="1" outlineLevel="1">
      <c r="B784" s="392" t="str">
        <f>'RGVM FGD'!$B$2</f>
        <v>The University of Texas Rio Grande Valley Medical School (M)</v>
      </c>
      <c r="C784" s="165"/>
      <c r="D784" s="355">
        <f>'RGVM FGD'!$D$83</f>
        <v>0</v>
      </c>
      <c r="E784" s="355">
        <f>'RGVM FGD'!$E$83</f>
        <v>0</v>
      </c>
      <c r="F784" s="355">
        <f>'RGVM FGD'!$F$83</f>
        <v>0</v>
      </c>
      <c r="G784" s="355">
        <f>'RGVM FGD'!$G$83</f>
        <v>0</v>
      </c>
      <c r="H784" s="355">
        <f>'RGVM FGD'!$H$83</f>
        <v>0</v>
      </c>
      <c r="I784" s="355">
        <f>'RGVM FGD'!$I$83</f>
        <v>0</v>
      </c>
      <c r="J784" s="355">
        <f>'RGVM FGD'!$J$83</f>
        <v>0</v>
      </c>
      <c r="K784" s="355">
        <f>'RGVM FGD'!$K$83</f>
        <v>0</v>
      </c>
      <c r="L784" s="355">
        <f>'RGVM FGD'!$L$83</f>
        <v>0</v>
      </c>
      <c r="M784" s="357">
        <f>'RGVM FGD'!$M$83</f>
        <v>0</v>
      </c>
      <c r="O784" s="305"/>
    </row>
    <row r="785" spans="1:15" hidden="1" outlineLevel="1">
      <c r="B785" s="392" t="str">
        <f>'SWM FGD'!$B$2</f>
        <v>The University of Texas Southwestern Medical Center</v>
      </c>
      <c r="C785" s="165"/>
      <c r="D785" s="355">
        <f>'SWM FGD'!$D$83</f>
        <v>-18518400</v>
      </c>
      <c r="E785" s="355">
        <f>'SWM FGD'!$E$83</f>
        <v>-73718262</v>
      </c>
      <c r="F785" s="355">
        <f>'SWM FGD'!$F$83</f>
        <v>-9353776</v>
      </c>
      <c r="G785" s="355">
        <f>'SWM FGD'!$G$83</f>
        <v>0</v>
      </c>
      <c r="H785" s="355">
        <f>'SWM FGD'!$H$83</f>
        <v>0</v>
      </c>
      <c r="I785" s="355">
        <f>'SWM FGD'!$I$83</f>
        <v>0</v>
      </c>
      <c r="J785" s="355">
        <f>'SWM FGD'!$J$83</f>
        <v>-155328</v>
      </c>
      <c r="K785" s="355">
        <f>'SWM FGD'!$K$83</f>
        <v>0</v>
      </c>
      <c r="L785" s="355">
        <f>'SWM FGD'!$L$83</f>
        <v>0</v>
      </c>
      <c r="M785" s="357">
        <f>'SWM FGD'!$M$83</f>
        <v>-101745766</v>
      </c>
      <c r="O785" s="305"/>
    </row>
    <row r="786" spans="1:15" hidden="1" outlineLevel="1">
      <c r="B786" s="392" t="str">
        <f>'TAMHSC FGD'!$B$2</f>
        <v>Texas A&amp;M University System Health Science Center</v>
      </c>
      <c r="C786" s="165"/>
      <c r="D786" s="355">
        <f>'TAMHSC FGD'!$D$83</f>
        <v>-21011959</v>
      </c>
      <c r="E786" s="355">
        <f>'TAMHSC FGD'!$E$83</f>
        <v>-601285</v>
      </c>
      <c r="F786" s="355">
        <f>'TAMHSC FGD'!$F$83</f>
        <v>0</v>
      </c>
      <c r="G786" s="355">
        <f>'TAMHSC FGD'!$G$83</f>
        <v>0</v>
      </c>
      <c r="H786" s="355">
        <f>'TAMHSC FGD'!$H$83</f>
        <v>0</v>
      </c>
      <c r="I786" s="355">
        <f>'TAMHSC FGD'!$I$83</f>
        <v>0</v>
      </c>
      <c r="J786" s="355">
        <f>'TAMHSC FGD'!$J$83</f>
        <v>0</v>
      </c>
      <c r="K786" s="355">
        <f>'TAMHSC FGD'!$K$83</f>
        <v>0</v>
      </c>
      <c r="L786" s="355">
        <f>'TAMHSC FGD'!$L$83</f>
        <v>0</v>
      </c>
      <c r="M786" s="357">
        <f>'TAMHSC FGD'!$M$83</f>
        <v>-21613244</v>
      </c>
      <c r="O786" s="305"/>
    </row>
    <row r="787" spans="1:15" hidden="1" outlineLevel="1">
      <c r="B787" s="392" t="str">
        <f>'THC FGD'!$B$2</f>
        <v>The University of Texas Health Science Center at Tyler</v>
      </c>
      <c r="C787" s="165"/>
      <c r="D787" s="355">
        <f>'THC FGD'!$D$83</f>
        <v>-6997201</v>
      </c>
      <c r="E787" s="355">
        <f>'THC FGD'!$E$83</f>
        <v>0</v>
      </c>
      <c r="F787" s="355">
        <f>'THC FGD'!$F$83</f>
        <v>0</v>
      </c>
      <c r="G787" s="355">
        <f>'THC FGD'!$G$83</f>
        <v>0</v>
      </c>
      <c r="H787" s="355">
        <f>'THC FGD'!$H$83</f>
        <v>0</v>
      </c>
      <c r="I787" s="355">
        <f>'THC FGD'!$I$83</f>
        <v>0</v>
      </c>
      <c r="J787" s="355">
        <f>'THC FGD'!$J$83</f>
        <v>-703344</v>
      </c>
      <c r="K787" s="355">
        <f>'THC FGD'!$K$83</f>
        <v>0</v>
      </c>
      <c r="L787" s="355">
        <f>'THC FGD'!$L$83</f>
        <v>0</v>
      </c>
      <c r="M787" s="357">
        <f>'THC FGD'!$M$83</f>
        <v>-7700545</v>
      </c>
      <c r="O787" s="305"/>
    </row>
    <row r="788" spans="1:15" hidden="1" outlineLevel="1">
      <c r="B788" s="392" t="str">
        <f>'TTUHSC FGD'!$B$2</f>
        <v>Texas Tech University Health Sciences Center</v>
      </c>
      <c r="C788" s="165"/>
      <c r="D788" s="355">
        <f>'TTUHSC FGD'!$D$83</f>
        <v>-13989425</v>
      </c>
      <c r="E788" s="355">
        <f>'TTUHSC FGD'!$E$83</f>
        <v>0</v>
      </c>
      <c r="F788" s="355">
        <f>'TTUHSC FGD'!$F$83</f>
        <v>0</v>
      </c>
      <c r="G788" s="355">
        <f>'TTUHSC FGD'!$G$83</f>
        <v>0</v>
      </c>
      <c r="H788" s="355">
        <f>'TTUHSC FGD'!$H$83</f>
        <v>0</v>
      </c>
      <c r="I788" s="355">
        <f>'TTUHSC FGD'!$I$83</f>
        <v>0</v>
      </c>
      <c r="J788" s="355">
        <f>'TTUHSC FGD'!$J$83</f>
        <v>0</v>
      </c>
      <c r="K788" s="355">
        <f>'TTUHSC FGD'!$K$83</f>
        <v>0</v>
      </c>
      <c r="L788" s="355">
        <f>'TTUHSC FGD'!$L$83</f>
        <v>0</v>
      </c>
      <c r="M788" s="357">
        <f>'TTUHSC FGD'!$M$83</f>
        <v>-13989425</v>
      </c>
      <c r="O788" s="305"/>
    </row>
    <row r="789" spans="1:15" hidden="1" outlineLevel="1">
      <c r="B789" s="392" t="str">
        <f>'TTUHSCEP FGD'!$B$2</f>
        <v>Texas Tech University Health Sciences Center at El Paso</v>
      </c>
      <c r="C789" s="165"/>
      <c r="D789" s="355">
        <f>'TTUHSCEP FGD'!$D$83</f>
        <v>-11103241</v>
      </c>
      <c r="E789" s="355">
        <f>'TTUHSCEP FGD'!$E$83</f>
        <v>0</v>
      </c>
      <c r="F789" s="355">
        <f>'TTUHSCEP FGD'!$F$83</f>
        <v>0</v>
      </c>
      <c r="G789" s="355">
        <f>'TTUHSCEP FGD'!$G$83</f>
        <v>0</v>
      </c>
      <c r="H789" s="355">
        <f>'TTUHSCEP FGD'!$H$83</f>
        <v>0</v>
      </c>
      <c r="I789" s="355">
        <f>'TTUHSCEP FGD'!$I$83</f>
        <v>0</v>
      </c>
      <c r="J789" s="355">
        <f>'TTUHSCEP FGD'!$J$83</f>
        <v>-1406365</v>
      </c>
      <c r="K789" s="355">
        <f>'TTUHSCEP FGD'!$K$83</f>
        <v>0</v>
      </c>
      <c r="L789" s="355">
        <f>'TTUHSCEP FGD'!$L$83</f>
        <v>0</v>
      </c>
      <c r="M789" s="357">
        <f>'TTUHSCEP FGD'!$M$83</f>
        <v>-12509606</v>
      </c>
      <c r="O789" s="305"/>
    </row>
    <row r="790" spans="1:15" hidden="1" outlineLevel="1">
      <c r="B790" s="392" t="str">
        <f>'UNTHSC FGD'!$B$2</f>
        <v>University of North Texas Health Science Center at Fort Worth</v>
      </c>
      <c r="C790" s="165"/>
      <c r="D790" s="355">
        <f>'UNTHSC FGD'!$D$83</f>
        <v>0</v>
      </c>
      <c r="E790" s="355">
        <f>'UNTHSC FGD'!$E$83</f>
        <v>0</v>
      </c>
      <c r="F790" s="355">
        <f>'UNTHSC FGD'!$F$83</f>
        <v>0</v>
      </c>
      <c r="G790" s="355">
        <f>'UNTHSC FGD'!$G$83</f>
        <v>0</v>
      </c>
      <c r="H790" s="355">
        <f>'UNTHSC FGD'!$H$83</f>
        <v>0</v>
      </c>
      <c r="I790" s="355">
        <f>'UNTHSC FGD'!$I$83</f>
        <v>0</v>
      </c>
      <c r="J790" s="355">
        <f>'UNTHSC FGD'!$J$83</f>
        <v>0</v>
      </c>
      <c r="K790" s="355">
        <f>'UNTHSC FGD'!$K$83</f>
        <v>-3093366</v>
      </c>
      <c r="L790" s="355">
        <f>'UNTHSC FGD'!$L$83</f>
        <v>-17284</v>
      </c>
      <c r="M790" s="357">
        <f>'UNTHSC FGD'!$M$83</f>
        <v>-3110650</v>
      </c>
      <c r="O790" s="305"/>
    </row>
    <row r="791" spans="1:15" collapsed="1">
      <c r="A791" s="147">
        <v>66</v>
      </c>
      <c r="B791" s="149" t="s">
        <v>43</v>
      </c>
      <c r="D791" s="355">
        <f t="shared" ref="D791:M791" si="58">SUM(D779:D790)</f>
        <v>-272503574</v>
      </c>
      <c r="E791" s="355">
        <f t="shared" si="58"/>
        <v>-100800333</v>
      </c>
      <c r="F791" s="355">
        <f t="shared" si="58"/>
        <v>-29481932</v>
      </c>
      <c r="G791" s="355">
        <f t="shared" si="58"/>
        <v>-80650</v>
      </c>
      <c r="H791" s="355">
        <f t="shared" si="58"/>
        <v>0</v>
      </c>
      <c r="I791" s="355">
        <f t="shared" si="58"/>
        <v>0</v>
      </c>
      <c r="J791" s="355">
        <f t="shared" si="58"/>
        <v>-12622937</v>
      </c>
      <c r="K791" s="355">
        <f t="shared" si="58"/>
        <v>-3093366</v>
      </c>
      <c r="L791" s="355">
        <f t="shared" si="58"/>
        <v>-17284</v>
      </c>
      <c r="M791" s="357">
        <f t="shared" si="58"/>
        <v>-418600076</v>
      </c>
      <c r="O791" s="305"/>
    </row>
    <row r="792" spans="1:15" hidden="1" outlineLevel="1">
      <c r="B792" s="392" t="str">
        <f>'AUSM FGD'!$B$2</f>
        <v>The University of Texas at Austin Medical School (M)</v>
      </c>
      <c r="D792" s="355">
        <f>'AUSM FGD'!$D$84</f>
        <v>-44908217</v>
      </c>
      <c r="E792" s="355">
        <f>'AUSM FGD'!$E$84</f>
        <v>1652724</v>
      </c>
      <c r="F792" s="355">
        <f>'AUSM FGD'!$F$84</f>
        <v>-2937117</v>
      </c>
      <c r="G792" s="355">
        <f>'AUSM FGD'!$G$84</f>
        <v>-791617</v>
      </c>
      <c r="H792" s="355">
        <f>'AUSM FGD'!$H$84</f>
        <v>0</v>
      </c>
      <c r="I792" s="355">
        <f>'AUSM FGD'!$I$84</f>
        <v>104704</v>
      </c>
      <c r="J792" s="355">
        <f>'AUSM FGD'!$J$84</f>
        <v>-25805179</v>
      </c>
      <c r="K792" s="355">
        <f>'AUSM FGD'!$K$84</f>
        <v>0</v>
      </c>
      <c r="L792" s="355">
        <f>'AUSM FGD'!$L$84</f>
        <v>0</v>
      </c>
      <c r="M792" s="357">
        <f>'AUSM FGD'!$M$84</f>
        <v>-72684702</v>
      </c>
      <c r="O792" s="305"/>
    </row>
    <row r="793" spans="1:15" hidden="1" outlineLevel="1">
      <c r="B793" s="392" t="str">
        <f>'HSH FGD'!$B$2</f>
        <v>The University of Texas Health Science Center at Houston</v>
      </c>
      <c r="D793" s="355">
        <f>'HSH FGD'!$D$84</f>
        <v>-20947170</v>
      </c>
      <c r="E793" s="355">
        <f>'HSH FGD'!$E$84</f>
        <v>-22186044</v>
      </c>
      <c r="F793" s="355">
        <f>'HSH FGD'!$F$84</f>
        <v>-28497259</v>
      </c>
      <c r="G793" s="355">
        <f>'HSH FGD'!$G$84</f>
        <v>-67946061</v>
      </c>
      <c r="H793" s="355">
        <f>'HSH FGD'!$H$84</f>
        <v>-77005</v>
      </c>
      <c r="I793" s="355">
        <f>'HSH FGD'!$I$84</f>
        <v>102316973</v>
      </c>
      <c r="J793" s="355">
        <f>'HSH FGD'!$J$84</f>
        <v>-23425919</v>
      </c>
      <c r="K793" s="355">
        <f>'HSH FGD'!$K$84</f>
        <v>0</v>
      </c>
      <c r="L793" s="355">
        <f>'HSH FGD'!$L$84</f>
        <v>-117003</v>
      </c>
      <c r="M793" s="357">
        <f>'HSH FGD'!$M$84</f>
        <v>-60879488</v>
      </c>
      <c r="O793" s="305"/>
    </row>
    <row r="794" spans="1:15" hidden="1" outlineLevel="1">
      <c r="B794" s="392" t="str">
        <f>'HSSA FGD'!$B$2</f>
        <v>The University of Texas Health Science Center at San Antonio</v>
      </c>
      <c r="D794" s="355">
        <f>'HSSA FGD'!$D$84</f>
        <v>7780461</v>
      </c>
      <c r="E794" s="355">
        <f>'HSSA FGD'!$E$84</f>
        <v>-31260324</v>
      </c>
      <c r="F794" s="355">
        <f>'HSSA FGD'!$F$84</f>
        <v>-1875411</v>
      </c>
      <c r="G794" s="355">
        <f>'HSSA FGD'!$G$84</f>
        <v>-8778082</v>
      </c>
      <c r="H794" s="355">
        <f>'HSSA FGD'!$H$84</f>
        <v>4211</v>
      </c>
      <c r="I794" s="355">
        <f>'HSSA FGD'!$I$84</f>
        <v>5753296</v>
      </c>
      <c r="J794" s="355">
        <f>'HSSA FGD'!$J$84</f>
        <v>-11409327</v>
      </c>
      <c r="K794" s="355">
        <f>'HSSA FGD'!$K$84</f>
        <v>0</v>
      </c>
      <c r="L794" s="355">
        <f>'HSSA FGD'!$L$84</f>
        <v>949498</v>
      </c>
      <c r="M794" s="357">
        <f>'HSSA FGD'!$M$84</f>
        <v>-38835678</v>
      </c>
      <c r="O794" s="305"/>
    </row>
    <row r="795" spans="1:15" hidden="1" outlineLevel="1">
      <c r="B795" s="392" t="str">
        <f>'MBG FGD'!$B$2</f>
        <v>The University of Texas Medical Branch at Galveston</v>
      </c>
      <c r="D795" s="355">
        <f>'MBG FGD'!$D$84</f>
        <v>-194165947</v>
      </c>
      <c r="E795" s="355">
        <f>'MBG FGD'!$E$84</f>
        <v>60696201</v>
      </c>
      <c r="F795" s="355">
        <f>'MBG FGD'!$F$84</f>
        <v>-1600566</v>
      </c>
      <c r="G795" s="355">
        <f>'MBG FGD'!$G$84</f>
        <v>-3743390</v>
      </c>
      <c r="H795" s="355">
        <f>'MBG FGD'!$H$84</f>
        <v>42765</v>
      </c>
      <c r="I795" s="355">
        <f>'MBG FGD'!$I$84</f>
        <v>4098694</v>
      </c>
      <c r="J795" s="355">
        <f>'MBG FGD'!$J$84</f>
        <v>-96457706</v>
      </c>
      <c r="K795" s="355">
        <f>'MBG FGD'!$K$84</f>
        <v>0</v>
      </c>
      <c r="L795" s="355">
        <f>'MBG FGD'!$L$84</f>
        <v>-308472</v>
      </c>
      <c r="M795" s="357">
        <f>'MBG FGD'!$M$84</f>
        <v>-231438421</v>
      </c>
      <c r="O795" s="305"/>
    </row>
    <row r="796" spans="1:15" hidden="1" outlineLevel="1">
      <c r="B796" s="392" t="str">
        <f>'MDA FGD'!$B$2</f>
        <v>The University of Texas M.D. Anderson Cancer Center</v>
      </c>
      <c r="D796" s="355">
        <f>'MDA FGD'!$D$84</f>
        <v>-449239733</v>
      </c>
      <c r="E796" s="355">
        <f>'MDA FGD'!$E$84</f>
        <v>7523567</v>
      </c>
      <c r="F796" s="355">
        <f>'MDA FGD'!$F$84</f>
        <v>-9509277</v>
      </c>
      <c r="G796" s="355">
        <f>'MDA FGD'!$G$84</f>
        <v>9582886</v>
      </c>
      <c r="H796" s="355">
        <f>'MDA FGD'!$H$84</f>
        <v>0</v>
      </c>
      <c r="I796" s="355">
        <f>'MDA FGD'!$I$84</f>
        <v>7586931</v>
      </c>
      <c r="J796" s="355">
        <f>'MDA FGD'!$J$84</f>
        <v>166573162</v>
      </c>
      <c r="K796" s="355">
        <f>'MDA FGD'!$K$84</f>
        <v>0</v>
      </c>
      <c r="L796" s="355">
        <f>'MDA FGD'!$L$84</f>
        <v>-1257865</v>
      </c>
      <c r="M796" s="357">
        <f>'MDA FGD'!$M$84</f>
        <v>-268740329</v>
      </c>
      <c r="O796" s="305"/>
    </row>
    <row r="797" spans="1:15" hidden="1" outlineLevel="1">
      <c r="B797" s="392" t="str">
        <f>'RGVM FGD'!$B$2</f>
        <v>The University of Texas Rio Grande Valley Medical School (M)</v>
      </c>
      <c r="D797" s="355">
        <f>'RGVM FGD'!$D$84</f>
        <v>-881771</v>
      </c>
      <c r="E797" s="355">
        <f>'RGVM FGD'!$E$84</f>
        <v>1441874</v>
      </c>
      <c r="F797" s="355">
        <f>'RGVM FGD'!$F$84</f>
        <v>-43670</v>
      </c>
      <c r="G797" s="355">
        <f>'RGVM FGD'!$G$84</f>
        <v>1426253</v>
      </c>
      <c r="H797" s="355">
        <f>'RGVM FGD'!$H$84</f>
        <v>0</v>
      </c>
      <c r="I797" s="355">
        <f>'RGVM FGD'!$I$84</f>
        <v>7137</v>
      </c>
      <c r="J797" s="355">
        <f>'RGVM FGD'!$J$84</f>
        <v>13246463</v>
      </c>
      <c r="K797" s="355">
        <f>'RGVM FGD'!$K$84</f>
        <v>0</v>
      </c>
      <c r="L797" s="355">
        <f>'RGVM FGD'!$L$84</f>
        <v>0</v>
      </c>
      <c r="M797" s="357">
        <f>'RGVM FGD'!$M$84</f>
        <v>15196286</v>
      </c>
      <c r="O797" s="305"/>
    </row>
    <row r="798" spans="1:15" hidden="1" outlineLevel="1">
      <c r="B798" s="392" t="str">
        <f>'SWM FGD'!$B$2</f>
        <v>The University of Texas Southwestern Medical Center</v>
      </c>
      <c r="D798" s="355">
        <f>'SWM FGD'!$D$84</f>
        <v>-18154971</v>
      </c>
      <c r="E798" s="355">
        <f>'SWM FGD'!$E$84</f>
        <v>-159260726</v>
      </c>
      <c r="F798" s="355">
        <f>'SWM FGD'!$F$84</f>
        <v>340126</v>
      </c>
      <c r="G798" s="355">
        <f>'SWM FGD'!$G$84</f>
        <v>-8458898</v>
      </c>
      <c r="H798" s="355">
        <f>'SWM FGD'!$H$84</f>
        <v>-1149801</v>
      </c>
      <c r="I798" s="355">
        <f>'SWM FGD'!$I$84</f>
        <v>14059002</v>
      </c>
      <c r="J798" s="355">
        <f>'SWM FGD'!$J$84</f>
        <v>-84784155</v>
      </c>
      <c r="K798" s="355">
        <f>'SWM FGD'!$K$84</f>
        <v>0</v>
      </c>
      <c r="L798" s="355">
        <f>'SWM FGD'!$L$84</f>
        <v>-540101</v>
      </c>
      <c r="M798" s="357">
        <f>'SWM FGD'!$M$84</f>
        <v>-257949524</v>
      </c>
      <c r="O798" s="305"/>
    </row>
    <row r="799" spans="1:15" hidden="1" outlineLevel="1">
      <c r="B799" s="392" t="str">
        <f>'TAMHSC FGD'!$B$2</f>
        <v>Texas A&amp;M University System Health Science Center</v>
      </c>
      <c r="D799" s="355">
        <f>'TAMHSC FGD'!$D$84</f>
        <v>-20262261</v>
      </c>
      <c r="E799" s="355">
        <f>'TAMHSC FGD'!$E$84</f>
        <v>-12173899</v>
      </c>
      <c r="F799" s="355">
        <f>'TAMHSC FGD'!$F$84</f>
        <v>115888</v>
      </c>
      <c r="G799" s="355">
        <f>'TAMHSC FGD'!$G$84</f>
        <v>257261</v>
      </c>
      <c r="H799" s="355">
        <f>'TAMHSC FGD'!$H$84</f>
        <v>0</v>
      </c>
      <c r="I799" s="355">
        <f>'TAMHSC FGD'!$I$84</f>
        <v>785409</v>
      </c>
      <c r="J799" s="355">
        <f>'TAMHSC FGD'!$J$84</f>
        <v>272296</v>
      </c>
      <c r="K799" s="355">
        <f>'TAMHSC FGD'!$K$84</f>
        <v>0</v>
      </c>
      <c r="L799" s="355">
        <f>'TAMHSC FGD'!$L$84</f>
        <v>0</v>
      </c>
      <c r="M799" s="357">
        <f>'TAMHSC FGD'!$M$84</f>
        <v>-31005306</v>
      </c>
      <c r="O799" s="305"/>
    </row>
    <row r="800" spans="1:15" hidden="1" outlineLevel="1">
      <c r="B800" s="392" t="str">
        <f>'THC FGD'!$B$2</f>
        <v>The University of Texas Health Science Center at Tyler</v>
      </c>
      <c r="D800" s="355">
        <f>'THC FGD'!$D$84</f>
        <v>28863336</v>
      </c>
      <c r="E800" s="355">
        <f>'THC FGD'!$E$84</f>
        <v>-31386613</v>
      </c>
      <c r="F800" s="355">
        <f>'THC FGD'!$F$84</f>
        <v>0</v>
      </c>
      <c r="G800" s="355">
        <f>'THC FGD'!$G$84</f>
        <v>-1839108</v>
      </c>
      <c r="H800" s="355">
        <f>'THC FGD'!$H$84</f>
        <v>0</v>
      </c>
      <c r="I800" s="355">
        <f>'THC FGD'!$I$84</f>
        <v>24463</v>
      </c>
      <c r="J800" s="355">
        <f>'THC FGD'!$J$84</f>
        <v>-2204016</v>
      </c>
      <c r="K800" s="355">
        <f>'THC FGD'!$K$84</f>
        <v>0</v>
      </c>
      <c r="L800" s="355">
        <f>'THC FGD'!$L$84</f>
        <v>-37535</v>
      </c>
      <c r="M800" s="357">
        <f>'THC FGD'!$M$84</f>
        <v>-6579473</v>
      </c>
      <c r="O800" s="305"/>
    </row>
    <row r="801" spans="1:15" hidden="1" outlineLevel="1">
      <c r="B801" s="392" t="str">
        <f>'TTUHSC FGD'!$B$2</f>
        <v>Texas Tech University Health Sciences Center</v>
      </c>
      <c r="D801" s="355">
        <f>'TTUHSC FGD'!$D$84</f>
        <v>-37218519</v>
      </c>
      <c r="E801" s="355">
        <f>'TTUHSC FGD'!$E$84</f>
        <v>5600149</v>
      </c>
      <c r="F801" s="355">
        <f>'TTUHSC FGD'!$F$84</f>
        <v>-10000</v>
      </c>
      <c r="G801" s="355">
        <f>'TTUHSC FGD'!$G$84</f>
        <v>-4298757</v>
      </c>
      <c r="H801" s="355">
        <f>'TTUHSC FGD'!$H$84</f>
        <v>-20588</v>
      </c>
      <c r="I801" s="355">
        <f>'TTUHSC FGD'!$I$84</f>
        <v>55193</v>
      </c>
      <c r="J801" s="355">
        <f>'TTUHSC FGD'!$J$84</f>
        <v>3589285</v>
      </c>
      <c r="K801" s="355">
        <f>'TTUHSC FGD'!$K$84</f>
        <v>0</v>
      </c>
      <c r="L801" s="355">
        <f>'TTUHSC FGD'!$L$84</f>
        <v>0</v>
      </c>
      <c r="M801" s="357">
        <f>'TTUHSC FGD'!$M$84</f>
        <v>-32303237</v>
      </c>
      <c r="O801" s="305"/>
    </row>
    <row r="802" spans="1:15" hidden="1" outlineLevel="1">
      <c r="B802" s="392" t="str">
        <f>'TTUHSCEP FGD'!$B$2</f>
        <v>Texas Tech University Health Sciences Center at El Paso</v>
      </c>
      <c r="D802" s="355">
        <f>'TTUHSCEP FGD'!$D$84</f>
        <v>-13788572</v>
      </c>
      <c r="E802" s="355">
        <f>'TTUHSCEP FGD'!$E$84</f>
        <v>829369</v>
      </c>
      <c r="F802" s="355">
        <f>'TTUHSCEP FGD'!$F$84</f>
        <v>0</v>
      </c>
      <c r="G802" s="355">
        <f>'TTUHSCEP FGD'!$G$84</f>
        <v>787304</v>
      </c>
      <c r="H802" s="355">
        <f>'TTUHSCEP FGD'!$H$84</f>
        <v>0</v>
      </c>
      <c r="I802" s="355">
        <f>'TTUHSCEP FGD'!$I$84</f>
        <v>0</v>
      </c>
      <c r="J802" s="355">
        <f>'TTUHSCEP FGD'!$J$84</f>
        <v>776455</v>
      </c>
      <c r="K802" s="355">
        <f>'TTUHSCEP FGD'!$K$84</f>
        <v>0</v>
      </c>
      <c r="L802" s="355">
        <f>'TTUHSCEP FGD'!$L$84</f>
        <v>0</v>
      </c>
      <c r="M802" s="357">
        <f>'TTUHSCEP FGD'!$M$84</f>
        <v>-11395444</v>
      </c>
      <c r="O802" s="305"/>
    </row>
    <row r="803" spans="1:15" hidden="1" outlineLevel="1">
      <c r="B803" s="392" t="str">
        <f>'UNTHSC FGD'!$B$2</f>
        <v>University of North Texas Health Science Center at Fort Worth</v>
      </c>
      <c r="D803" s="355">
        <f>'UNTHSC FGD'!$D$84</f>
        <v>-23753252</v>
      </c>
      <c r="E803" s="355">
        <f>'UNTHSC FGD'!$E$84</f>
        <v>58978522</v>
      </c>
      <c r="F803" s="355">
        <f>'UNTHSC FGD'!$F$84</f>
        <v>0</v>
      </c>
      <c r="G803" s="355">
        <f>'UNTHSC FGD'!$G$84</f>
        <v>3296941</v>
      </c>
      <c r="H803" s="355">
        <f>'UNTHSC FGD'!$H$84</f>
        <v>813667</v>
      </c>
      <c r="I803" s="355">
        <f>'UNTHSC FGD'!$I$84</f>
        <v>-1621237</v>
      </c>
      <c r="J803" s="355">
        <f>'UNTHSC FGD'!$J$84</f>
        <v>0</v>
      </c>
      <c r="K803" s="355">
        <f>'UNTHSC FGD'!$K$84</f>
        <v>95783</v>
      </c>
      <c r="L803" s="355">
        <f>'UNTHSC FGD'!$L$84</f>
        <v>6855865</v>
      </c>
      <c r="M803" s="357">
        <f>'UNTHSC FGD'!$M$84</f>
        <v>44666289</v>
      </c>
      <c r="O803" s="305"/>
    </row>
    <row r="804" spans="1:15" collapsed="1">
      <c r="A804" s="147">
        <v>67</v>
      </c>
      <c r="B804" s="164" t="s">
        <v>3</v>
      </c>
      <c r="C804" s="164"/>
      <c r="D804" s="356">
        <f t="shared" ref="D804:M804" si="59">SUM(D792:D803)</f>
        <v>-786676616</v>
      </c>
      <c r="E804" s="356">
        <f t="shared" si="59"/>
        <v>-119545200</v>
      </c>
      <c r="F804" s="356">
        <f t="shared" si="59"/>
        <v>-44017286</v>
      </c>
      <c r="G804" s="356">
        <f t="shared" si="59"/>
        <v>-80505268</v>
      </c>
      <c r="H804" s="356">
        <f t="shared" si="59"/>
        <v>-386751</v>
      </c>
      <c r="I804" s="356">
        <f t="shared" si="59"/>
        <v>133170565</v>
      </c>
      <c r="J804" s="356">
        <f t="shared" si="59"/>
        <v>-59628641</v>
      </c>
      <c r="K804" s="356">
        <f t="shared" si="59"/>
        <v>95783</v>
      </c>
      <c r="L804" s="356">
        <f t="shared" si="59"/>
        <v>5544387</v>
      </c>
      <c r="M804" s="356">
        <f t="shared" si="59"/>
        <v>-951949027</v>
      </c>
      <c r="O804" s="293" t="str">
        <f>IF(M804&lt;&gt;M1057,"Error","OK")</f>
        <v>OK</v>
      </c>
    </row>
    <row r="805" spans="1:15">
      <c r="A805" s="147">
        <v>68</v>
      </c>
      <c r="D805" s="357"/>
      <c r="E805" s="357"/>
      <c r="F805" s="357"/>
      <c r="G805" s="357"/>
      <c r="H805" s="357"/>
      <c r="I805" s="357"/>
      <c r="J805" s="357"/>
      <c r="K805" s="357"/>
      <c r="L805" s="357"/>
      <c r="M805" s="357"/>
      <c r="O805" s="305"/>
    </row>
    <row r="806" spans="1:15">
      <c r="A806" s="147">
        <v>69</v>
      </c>
      <c r="B806" s="151" t="s">
        <v>24</v>
      </c>
      <c r="C806" s="151"/>
      <c r="D806" s="357"/>
      <c r="E806" s="357"/>
      <c r="F806" s="357"/>
      <c r="G806" s="357"/>
      <c r="H806" s="357"/>
      <c r="I806" s="357"/>
      <c r="J806" s="357"/>
      <c r="K806" s="357"/>
      <c r="L806" s="357"/>
      <c r="M806" s="357"/>
      <c r="O806" s="305"/>
    </row>
    <row r="807" spans="1:15" hidden="1" outlineLevel="1">
      <c r="B807" s="392" t="str">
        <f>'AUSM FGD'!$B$2</f>
        <v>The University of Texas at Austin Medical School (M)</v>
      </c>
      <c r="C807" s="151"/>
      <c r="D807" s="357">
        <f>'AUSM FGD'!$D$87</f>
        <v>0</v>
      </c>
      <c r="E807" s="357">
        <f>'AUSM FGD'!$E$87</f>
        <v>0</v>
      </c>
      <c r="F807" s="357">
        <f>'AUSM FGD'!$F$87</f>
        <v>0</v>
      </c>
      <c r="G807" s="357">
        <f>'AUSM FGD'!$G$87</f>
        <v>118567</v>
      </c>
      <c r="H807" s="357">
        <f>'AUSM FGD'!$H$87</f>
        <v>0</v>
      </c>
      <c r="I807" s="357">
        <f>'AUSM FGD'!$I$87</f>
        <v>587730</v>
      </c>
      <c r="J807" s="357">
        <f>'AUSM FGD'!$J$87</f>
        <v>0</v>
      </c>
      <c r="K807" s="357">
        <f>'AUSM FGD'!$K$87</f>
        <v>0</v>
      </c>
      <c r="L807" s="357">
        <f>'AUSM FGD'!$L$87</f>
        <v>0</v>
      </c>
      <c r="M807" s="357">
        <f>'AUSM FGD'!$M$87</f>
        <v>706297</v>
      </c>
      <c r="O807" s="305"/>
    </row>
    <row r="808" spans="1:15" hidden="1" outlineLevel="1">
      <c r="B808" s="392" t="str">
        <f>'HSH FGD'!$B$2</f>
        <v>The University of Texas Health Science Center at Houston</v>
      </c>
      <c r="C808" s="151"/>
      <c r="D808" s="357">
        <f>'HSH FGD'!$D$87</f>
        <v>0</v>
      </c>
      <c r="E808" s="357">
        <f>'HSH FGD'!$E$87</f>
        <v>-9190963</v>
      </c>
      <c r="F808" s="357">
        <f>'HSH FGD'!$F$87</f>
        <v>0</v>
      </c>
      <c r="G808" s="357">
        <f>'HSH FGD'!$G$87</f>
        <v>-20312</v>
      </c>
      <c r="H808" s="357">
        <f>'HSH FGD'!$H$87</f>
        <v>0</v>
      </c>
      <c r="I808" s="357">
        <f>'HSH FGD'!$I$87</f>
        <v>19796706</v>
      </c>
      <c r="J808" s="357">
        <f>'HSH FGD'!$J$87</f>
        <v>0</v>
      </c>
      <c r="K808" s="357">
        <f>'HSH FGD'!$K$87</f>
        <v>0</v>
      </c>
      <c r="L808" s="357">
        <f>'HSH FGD'!$L$87</f>
        <v>0</v>
      </c>
      <c r="M808" s="357">
        <f>'HSH FGD'!$M$87</f>
        <v>10585431</v>
      </c>
      <c r="O808" s="305"/>
    </row>
    <row r="809" spans="1:15" hidden="1" outlineLevel="1">
      <c r="B809" s="392" t="str">
        <f>'HSSA FGD'!$B$2</f>
        <v>The University of Texas Health Science Center at San Antonio</v>
      </c>
      <c r="C809" s="151"/>
      <c r="D809" s="357">
        <f>'HSSA FGD'!$D$87</f>
        <v>0</v>
      </c>
      <c r="E809" s="357">
        <f>'HSSA FGD'!$E$87</f>
        <v>-148503</v>
      </c>
      <c r="F809" s="357">
        <f>'HSSA FGD'!$F$87</f>
        <v>0</v>
      </c>
      <c r="G809" s="357">
        <f>'HSSA FGD'!$G$87</f>
        <v>156105</v>
      </c>
      <c r="H809" s="357">
        <f>'HSSA FGD'!$H$87</f>
        <v>6736</v>
      </c>
      <c r="I809" s="357">
        <f>'HSSA FGD'!$I$87</f>
        <v>26081674</v>
      </c>
      <c r="J809" s="357">
        <f>'HSSA FGD'!$J$87</f>
        <v>0</v>
      </c>
      <c r="K809" s="357">
        <f>'HSSA FGD'!$K$87</f>
        <v>0</v>
      </c>
      <c r="L809" s="357">
        <f>'HSSA FGD'!$L$87</f>
        <v>0</v>
      </c>
      <c r="M809" s="357">
        <f>'HSSA FGD'!$M$87</f>
        <v>26096012</v>
      </c>
      <c r="O809" s="305"/>
    </row>
    <row r="810" spans="1:15" hidden="1" outlineLevel="1">
      <c r="B810" s="392" t="str">
        <f>'MBG FGD'!$B$2</f>
        <v>The University of Texas Medical Branch at Galveston</v>
      </c>
      <c r="C810" s="151"/>
      <c r="D810" s="357">
        <f>'MBG FGD'!$D$87</f>
        <v>50663</v>
      </c>
      <c r="E810" s="357">
        <f>'MBG FGD'!$E$87</f>
        <v>74594</v>
      </c>
      <c r="F810" s="357">
        <f>'MBG FGD'!$F$87</f>
        <v>0</v>
      </c>
      <c r="G810" s="357">
        <f>'MBG FGD'!$G$87</f>
        <v>0</v>
      </c>
      <c r="H810" s="357">
        <f>'MBG FGD'!$H$87</f>
        <v>0</v>
      </c>
      <c r="I810" s="357">
        <f>'MBG FGD'!$I$87</f>
        <v>26642981</v>
      </c>
      <c r="J810" s="357">
        <f>'MBG FGD'!$J$87</f>
        <v>0</v>
      </c>
      <c r="K810" s="357">
        <f>'MBG FGD'!$K$87</f>
        <v>0</v>
      </c>
      <c r="L810" s="357">
        <f>'MBG FGD'!$L$87</f>
        <v>0</v>
      </c>
      <c r="M810" s="357">
        <f>'MBG FGD'!$M$87</f>
        <v>26768238</v>
      </c>
      <c r="O810" s="305"/>
    </row>
    <row r="811" spans="1:15" hidden="1" outlineLevel="1">
      <c r="B811" s="392" t="str">
        <f>'MDA FGD'!$B$2</f>
        <v>The University of Texas M.D. Anderson Cancer Center</v>
      </c>
      <c r="C811" s="151"/>
      <c r="D811" s="357">
        <f>'MDA FGD'!$D$87</f>
        <v>-1026026</v>
      </c>
      <c r="E811" s="357">
        <f>'MDA FGD'!$E$87</f>
        <v>7955686</v>
      </c>
      <c r="F811" s="357">
        <f>'MDA FGD'!$F$87</f>
        <v>0</v>
      </c>
      <c r="G811" s="357">
        <f>'MDA FGD'!$G$87</f>
        <v>0</v>
      </c>
      <c r="H811" s="357">
        <f>'MDA FGD'!$H$87</f>
        <v>0</v>
      </c>
      <c r="I811" s="357">
        <f>'MDA FGD'!$I$87</f>
        <v>57348652</v>
      </c>
      <c r="J811" s="357">
        <f>'MDA FGD'!$J$87</f>
        <v>0</v>
      </c>
      <c r="K811" s="357">
        <f>'MDA FGD'!$K$87</f>
        <v>0</v>
      </c>
      <c r="L811" s="357">
        <f>'MDA FGD'!$L$87</f>
        <v>0</v>
      </c>
      <c r="M811" s="357">
        <f>'MDA FGD'!$M$87</f>
        <v>64278312</v>
      </c>
      <c r="O811" s="305"/>
    </row>
    <row r="812" spans="1:15" hidden="1" outlineLevel="1">
      <c r="B812" s="392" t="str">
        <f>'RGVM FGD'!$B$2</f>
        <v>The University of Texas Rio Grande Valley Medical School (M)</v>
      </c>
      <c r="C812" s="151"/>
      <c r="D812" s="357">
        <f>'RGVM FGD'!$D$87</f>
        <v>0</v>
      </c>
      <c r="E812" s="357">
        <f>'RGVM FGD'!$E$87</f>
        <v>0</v>
      </c>
      <c r="F812" s="357">
        <f>'RGVM FGD'!$F$87</f>
        <v>0</v>
      </c>
      <c r="G812" s="357">
        <f>'RGVM FGD'!$G$87</f>
        <v>0</v>
      </c>
      <c r="H812" s="357">
        <f>'RGVM FGD'!$H$87</f>
        <v>0</v>
      </c>
      <c r="I812" s="357">
        <f>'RGVM FGD'!$I$87</f>
        <v>15251</v>
      </c>
      <c r="J812" s="357">
        <f>'RGVM FGD'!$J$87</f>
        <v>0</v>
      </c>
      <c r="K812" s="357">
        <f>'RGVM FGD'!$K$87</f>
        <v>0</v>
      </c>
      <c r="L812" s="357">
        <f>'RGVM FGD'!$L$87</f>
        <v>0</v>
      </c>
      <c r="M812" s="357">
        <f>'RGVM FGD'!$M$87</f>
        <v>15251</v>
      </c>
      <c r="O812" s="305"/>
    </row>
    <row r="813" spans="1:15" hidden="1" outlineLevel="1">
      <c r="B813" s="392" t="str">
        <f>'SWM FGD'!$B$2</f>
        <v>The University of Texas Southwestern Medical Center</v>
      </c>
      <c r="C813" s="151"/>
      <c r="D813" s="357">
        <f>'SWM FGD'!$D$87</f>
        <v>0</v>
      </c>
      <c r="E813" s="357">
        <f>'SWM FGD'!$E$87</f>
        <v>5285364</v>
      </c>
      <c r="F813" s="357">
        <f>'SWM FGD'!$F$87</f>
        <v>-110137</v>
      </c>
      <c r="G813" s="357">
        <f>'SWM FGD'!$G$87</f>
        <v>-7017978</v>
      </c>
      <c r="H813" s="357">
        <f>'SWM FGD'!$H$87</f>
        <v>-38890</v>
      </c>
      <c r="I813" s="357">
        <f>'SWM FGD'!$I$87</f>
        <v>49089394</v>
      </c>
      <c r="J813" s="357">
        <f>'SWM FGD'!$J$87</f>
        <v>-7265483</v>
      </c>
      <c r="K813" s="357">
        <f>'SWM FGD'!$K$87</f>
        <v>0</v>
      </c>
      <c r="L813" s="357">
        <f>'SWM FGD'!$L$87</f>
        <v>0</v>
      </c>
      <c r="M813" s="357">
        <f>'SWM FGD'!$M$87</f>
        <v>39942270</v>
      </c>
      <c r="O813" s="305"/>
    </row>
    <row r="814" spans="1:15" hidden="1" outlineLevel="1">
      <c r="B814" s="392" t="str">
        <f>'TAMHSC FGD'!$B$2</f>
        <v>Texas A&amp;M University System Health Science Center</v>
      </c>
      <c r="C814" s="151"/>
      <c r="D814" s="357">
        <f>'TAMHSC FGD'!$D$87</f>
        <v>-229985</v>
      </c>
      <c r="E814" s="357">
        <f>'TAMHSC FGD'!$E$87</f>
        <v>2224582</v>
      </c>
      <c r="F814" s="357">
        <f>'TAMHSC FGD'!$F$87</f>
        <v>0</v>
      </c>
      <c r="G814" s="357">
        <f>'TAMHSC FGD'!$G$87</f>
        <v>0</v>
      </c>
      <c r="H814" s="357">
        <f>'TAMHSC FGD'!$H$87</f>
        <v>0</v>
      </c>
      <c r="I814" s="357">
        <f>'TAMHSC FGD'!$I$87</f>
        <v>2673825</v>
      </c>
      <c r="J814" s="357">
        <f>'TAMHSC FGD'!$J$87</f>
        <v>0</v>
      </c>
      <c r="K814" s="357">
        <f>'TAMHSC FGD'!$K$87</f>
        <v>0</v>
      </c>
      <c r="L814" s="357">
        <f>'TAMHSC FGD'!$L$87</f>
        <v>0</v>
      </c>
      <c r="M814" s="357">
        <f>'TAMHSC FGD'!$M$87</f>
        <v>4668422</v>
      </c>
      <c r="O814" s="305"/>
    </row>
    <row r="815" spans="1:15" hidden="1" outlineLevel="1">
      <c r="B815" s="392" t="str">
        <f>'THC FGD'!$B$2</f>
        <v>The University of Texas Health Science Center at Tyler</v>
      </c>
      <c r="C815" s="151"/>
      <c r="D815" s="357">
        <f>'THC FGD'!$D$87</f>
        <v>16911</v>
      </c>
      <c r="E815" s="357">
        <f>'THC FGD'!$E$87</f>
        <v>-54945</v>
      </c>
      <c r="F815" s="357">
        <f>'THC FGD'!$F$87</f>
        <v>0</v>
      </c>
      <c r="G815" s="357">
        <f>'THC FGD'!$G$87</f>
        <v>13416</v>
      </c>
      <c r="H815" s="357">
        <f>'THC FGD'!$H$87</f>
        <v>0</v>
      </c>
      <c r="I815" s="357">
        <f>'THC FGD'!$I$87</f>
        <v>2407484</v>
      </c>
      <c r="J815" s="357">
        <f>'THC FGD'!$J$87</f>
        <v>0</v>
      </c>
      <c r="K815" s="357">
        <f>'THC FGD'!$K$87</f>
        <v>0</v>
      </c>
      <c r="L815" s="357">
        <f>'THC FGD'!$L$87</f>
        <v>0</v>
      </c>
      <c r="M815" s="357">
        <f>'THC FGD'!$M$87</f>
        <v>2382866</v>
      </c>
      <c r="O815" s="305"/>
    </row>
    <row r="816" spans="1:15" hidden="1" outlineLevel="1">
      <c r="B816" s="392" t="str">
        <f>'TTUHSC FGD'!$B$2</f>
        <v>Texas Tech University Health Sciences Center</v>
      </c>
      <c r="C816" s="151"/>
      <c r="D816" s="357">
        <f>'TTUHSC FGD'!$D$87</f>
        <v>0</v>
      </c>
      <c r="E816" s="357">
        <f>'TTUHSC FGD'!$E$87</f>
        <v>-706841</v>
      </c>
      <c r="F816" s="357">
        <f>'TTUHSC FGD'!$F$87</f>
        <v>0</v>
      </c>
      <c r="G816" s="357">
        <f>'TTUHSC FGD'!$G$87</f>
        <v>-285357</v>
      </c>
      <c r="H816" s="357">
        <f>'TTUHSC FGD'!$H$87</f>
        <v>0</v>
      </c>
      <c r="I816" s="357">
        <f>'TTUHSC FGD'!$I$87</f>
        <v>4000678</v>
      </c>
      <c r="J816" s="357">
        <f>'TTUHSC FGD'!$J$87</f>
        <v>0</v>
      </c>
      <c r="K816" s="357">
        <f>'TTUHSC FGD'!$K$87</f>
        <v>0</v>
      </c>
      <c r="L816" s="357">
        <f>'TTUHSC FGD'!$L$87</f>
        <v>0</v>
      </c>
      <c r="M816" s="357">
        <f>'TTUHSC FGD'!$M$87</f>
        <v>3008480</v>
      </c>
      <c r="O816" s="305"/>
    </row>
    <row r="817" spans="1:15" hidden="1" outlineLevel="1">
      <c r="B817" s="392" t="str">
        <f>'TTUHSCEP FGD'!$B$2</f>
        <v>Texas Tech University Health Sciences Center at El Paso</v>
      </c>
      <c r="C817" s="151"/>
      <c r="D817" s="357">
        <f>'TTUHSCEP FGD'!$D$87</f>
        <v>0</v>
      </c>
      <c r="E817" s="357">
        <f>'TTUHSCEP FGD'!$E$87</f>
        <v>-4220</v>
      </c>
      <c r="F817" s="357">
        <f>'TTUHSCEP FGD'!$F$87</f>
        <v>0</v>
      </c>
      <c r="G817" s="357">
        <f>'TTUHSCEP FGD'!$G$87</f>
        <v>0</v>
      </c>
      <c r="H817" s="357">
        <f>'TTUHSCEP FGD'!$H$87</f>
        <v>0</v>
      </c>
      <c r="I817" s="357">
        <f>'TTUHSCEP FGD'!$I$87</f>
        <v>2199694</v>
      </c>
      <c r="J817" s="357">
        <f>'TTUHSCEP FGD'!$J$87</f>
        <v>0</v>
      </c>
      <c r="K817" s="357">
        <f>'TTUHSCEP FGD'!$K$87</f>
        <v>0</v>
      </c>
      <c r="L817" s="357">
        <f>'TTUHSCEP FGD'!$L$87</f>
        <v>0</v>
      </c>
      <c r="M817" s="357">
        <f>'TTUHSCEP FGD'!$M$87</f>
        <v>2195474</v>
      </c>
      <c r="O817" s="305"/>
    </row>
    <row r="818" spans="1:15" hidden="1" outlineLevel="1">
      <c r="B818" s="392" t="str">
        <f>'UNTHSC FGD'!$B$2</f>
        <v>University of North Texas Health Science Center at Fort Worth</v>
      </c>
      <c r="C818" s="151"/>
      <c r="D818" s="357">
        <f>'UNTHSC FGD'!$D$87</f>
        <v>0</v>
      </c>
      <c r="E818" s="357">
        <f>'UNTHSC FGD'!$E$87</f>
        <v>1300612</v>
      </c>
      <c r="F818" s="357">
        <f>'UNTHSC FGD'!$F$87</f>
        <v>0</v>
      </c>
      <c r="G818" s="357">
        <f>'UNTHSC FGD'!$G$87</f>
        <v>1085</v>
      </c>
      <c r="H818" s="357">
        <f>'UNTHSC FGD'!$H$87</f>
        <v>0</v>
      </c>
      <c r="I818" s="357">
        <f>'UNTHSC FGD'!$I$87</f>
        <v>-935233</v>
      </c>
      <c r="J818" s="357">
        <f>'UNTHSC FGD'!$J$87</f>
        <v>0</v>
      </c>
      <c r="K818" s="357">
        <f>'UNTHSC FGD'!$K$87</f>
        <v>0</v>
      </c>
      <c r="L818" s="357">
        <f>'UNTHSC FGD'!$L$87</f>
        <v>0</v>
      </c>
      <c r="M818" s="357">
        <f>'UNTHSC FGD'!$M$87</f>
        <v>366464</v>
      </c>
      <c r="O818" s="305"/>
    </row>
    <row r="819" spans="1:15" collapsed="1">
      <c r="A819" s="147">
        <v>70</v>
      </c>
      <c r="B819" s="149" t="s">
        <v>44</v>
      </c>
      <c r="D819" s="355">
        <f t="shared" ref="D819:M819" si="60">SUM(D807:D818)</f>
        <v>-1188437</v>
      </c>
      <c r="E819" s="355">
        <f t="shared" si="60"/>
        <v>6735366</v>
      </c>
      <c r="F819" s="355">
        <f t="shared" si="60"/>
        <v>-110137</v>
      </c>
      <c r="G819" s="355">
        <f t="shared" si="60"/>
        <v>-7034474</v>
      </c>
      <c r="H819" s="355">
        <f t="shared" si="60"/>
        <v>-32154</v>
      </c>
      <c r="I819" s="355">
        <f t="shared" si="60"/>
        <v>189908836</v>
      </c>
      <c r="J819" s="355">
        <f t="shared" si="60"/>
        <v>-7265483</v>
      </c>
      <c r="K819" s="355">
        <f t="shared" si="60"/>
        <v>0</v>
      </c>
      <c r="L819" s="355">
        <f t="shared" si="60"/>
        <v>0</v>
      </c>
      <c r="M819" s="357">
        <f t="shared" si="60"/>
        <v>181013517</v>
      </c>
      <c r="O819" s="305"/>
    </row>
    <row r="820" spans="1:15" hidden="1" outlineLevel="1">
      <c r="B820" s="392" t="str">
        <f>'AUSM FGD'!$B$2</f>
        <v>The University of Texas at Austin Medical School (M)</v>
      </c>
      <c r="D820" s="355">
        <f>'AUSM FGD'!$D$88</f>
        <v>0</v>
      </c>
      <c r="E820" s="355">
        <f>'AUSM FGD'!$E$88</f>
        <v>0</v>
      </c>
      <c r="F820" s="355">
        <f>'AUSM FGD'!$F$88</f>
        <v>0</v>
      </c>
      <c r="G820" s="355">
        <f>'AUSM FGD'!$G$88</f>
        <v>0</v>
      </c>
      <c r="H820" s="355">
        <f>'AUSM FGD'!$H$88</f>
        <v>0</v>
      </c>
      <c r="I820" s="355">
        <f>'AUSM FGD'!$I$88</f>
        <v>2264242</v>
      </c>
      <c r="J820" s="355">
        <f>'AUSM FGD'!$J$88</f>
        <v>0</v>
      </c>
      <c r="K820" s="355">
        <f>'AUSM FGD'!$K$88</f>
        <v>0</v>
      </c>
      <c r="L820" s="355">
        <f>'AUSM FGD'!$L$88</f>
        <v>0</v>
      </c>
      <c r="M820" s="357">
        <f>'AUSM FGD'!$M$88</f>
        <v>2264242</v>
      </c>
      <c r="O820" s="305"/>
    </row>
    <row r="821" spans="1:15" hidden="1" outlineLevel="1">
      <c r="B821" s="392" t="str">
        <f>'HSH FGD'!$B$2</f>
        <v>The University of Texas Health Science Center at Houston</v>
      </c>
      <c r="D821" s="355">
        <f>'HSH FGD'!$D$88</f>
        <v>0</v>
      </c>
      <c r="E821" s="355">
        <f>'HSH FGD'!$E$88</f>
        <v>0</v>
      </c>
      <c r="F821" s="355">
        <f>'HSH FGD'!$F$88</f>
        <v>0</v>
      </c>
      <c r="G821" s="355">
        <f>'HSH FGD'!$G$88</f>
        <v>209630</v>
      </c>
      <c r="H821" s="355">
        <f>'HSH FGD'!$H$88</f>
        <v>0</v>
      </c>
      <c r="I821" s="355">
        <f>'HSH FGD'!$I$88</f>
        <v>19229443</v>
      </c>
      <c r="J821" s="355">
        <f>'HSH FGD'!$J$88</f>
        <v>0</v>
      </c>
      <c r="K821" s="355">
        <f>'HSH FGD'!$K$88</f>
        <v>0</v>
      </c>
      <c r="L821" s="355">
        <f>'HSH FGD'!$L$88</f>
        <v>0</v>
      </c>
      <c r="M821" s="357">
        <f>'HSH FGD'!$M$88</f>
        <v>19439073</v>
      </c>
      <c r="O821" s="305"/>
    </row>
    <row r="822" spans="1:15" hidden="1" outlineLevel="1">
      <c r="B822" s="392" t="str">
        <f>'HSSA FGD'!$B$2</f>
        <v>The University of Texas Health Science Center at San Antonio</v>
      </c>
      <c r="D822" s="355">
        <f>'HSSA FGD'!$D$88</f>
        <v>0</v>
      </c>
      <c r="E822" s="355">
        <f>'HSSA FGD'!$E$88</f>
        <v>0</v>
      </c>
      <c r="F822" s="355">
        <f>'HSSA FGD'!$F$88</f>
        <v>0</v>
      </c>
      <c r="G822" s="355">
        <f>'HSSA FGD'!$G$88</f>
        <v>0</v>
      </c>
      <c r="H822" s="355">
        <f>'HSSA FGD'!$H$88</f>
        <v>0</v>
      </c>
      <c r="I822" s="355">
        <f>'HSSA FGD'!$I$88</f>
        <v>9978440</v>
      </c>
      <c r="J822" s="355">
        <f>'HSSA FGD'!$J$88</f>
        <v>0</v>
      </c>
      <c r="K822" s="355">
        <f>'HSSA FGD'!$K$88</f>
        <v>0</v>
      </c>
      <c r="L822" s="355">
        <f>'HSSA FGD'!$L$88</f>
        <v>0</v>
      </c>
      <c r="M822" s="357">
        <f>'HSSA FGD'!$M$88</f>
        <v>9978440</v>
      </c>
      <c r="O822" s="305"/>
    </row>
    <row r="823" spans="1:15" hidden="1" outlineLevel="1">
      <c r="B823" s="392" t="str">
        <f>'MBG FGD'!$B$2</f>
        <v>The University of Texas Medical Branch at Galveston</v>
      </c>
      <c r="D823" s="355">
        <f>'MBG FGD'!$D$88</f>
        <v>0</v>
      </c>
      <c r="E823" s="355">
        <f>'MBG FGD'!$E$88</f>
        <v>0</v>
      </c>
      <c r="F823" s="355">
        <f>'MBG FGD'!$F$88</f>
        <v>0</v>
      </c>
      <c r="G823" s="355">
        <f>'MBG FGD'!$G$88</f>
        <v>114350</v>
      </c>
      <c r="H823" s="355">
        <f>'MBG FGD'!$H$88</f>
        <v>0</v>
      </c>
      <c r="I823" s="355">
        <f>'MBG FGD'!$I$88</f>
        <v>3726509</v>
      </c>
      <c r="J823" s="355">
        <f>'MBG FGD'!$J$88</f>
        <v>0</v>
      </c>
      <c r="K823" s="355">
        <f>'MBG FGD'!$K$88</f>
        <v>0</v>
      </c>
      <c r="L823" s="355">
        <f>'MBG FGD'!$L$88</f>
        <v>0</v>
      </c>
      <c r="M823" s="357">
        <f>'MBG FGD'!$M$88</f>
        <v>3840859</v>
      </c>
      <c r="O823" s="305"/>
    </row>
    <row r="824" spans="1:15" hidden="1" outlineLevel="1">
      <c r="B824" s="392" t="str">
        <f>'MDA FGD'!$B$2</f>
        <v>The University of Texas M.D. Anderson Cancer Center</v>
      </c>
      <c r="D824" s="355">
        <f>'MDA FGD'!$D$88</f>
        <v>0</v>
      </c>
      <c r="E824" s="355">
        <f>'MDA FGD'!$E$88</f>
        <v>0</v>
      </c>
      <c r="F824" s="355">
        <f>'MDA FGD'!$F$88</f>
        <v>0</v>
      </c>
      <c r="G824" s="355">
        <f>'MDA FGD'!$G$88</f>
        <v>330468</v>
      </c>
      <c r="H824" s="355">
        <f>'MDA FGD'!$H$88</f>
        <v>0</v>
      </c>
      <c r="I824" s="355">
        <f>'MDA FGD'!$I$88</f>
        <v>10695715</v>
      </c>
      <c r="J824" s="355">
        <f>'MDA FGD'!$J$88</f>
        <v>0</v>
      </c>
      <c r="K824" s="355">
        <f>'MDA FGD'!$K$88</f>
        <v>0</v>
      </c>
      <c r="L824" s="355">
        <f>'MDA FGD'!$L$88</f>
        <v>0</v>
      </c>
      <c r="M824" s="357">
        <f>'MDA FGD'!$M$88</f>
        <v>11026183</v>
      </c>
      <c r="O824" s="305"/>
    </row>
    <row r="825" spans="1:15" hidden="1" outlineLevel="1">
      <c r="B825" s="392" t="str">
        <f>'RGVM FGD'!$B$2</f>
        <v>The University of Texas Rio Grande Valley Medical School (M)</v>
      </c>
      <c r="D825" s="355">
        <f>'RGVM FGD'!$D$88</f>
        <v>0</v>
      </c>
      <c r="E825" s="355">
        <f>'RGVM FGD'!$E$88</f>
        <v>0</v>
      </c>
      <c r="F825" s="355">
        <f>'RGVM FGD'!$F$88</f>
        <v>0</v>
      </c>
      <c r="G825" s="355">
        <f>'RGVM FGD'!$G$88</f>
        <v>0</v>
      </c>
      <c r="H825" s="355">
        <f>'RGVM FGD'!$H$88</f>
        <v>0</v>
      </c>
      <c r="I825" s="355">
        <f>'RGVM FGD'!$I$88</f>
        <v>330000</v>
      </c>
      <c r="J825" s="355">
        <f>'RGVM FGD'!$J$88</f>
        <v>0</v>
      </c>
      <c r="K825" s="355">
        <f>'RGVM FGD'!$K$88</f>
        <v>0</v>
      </c>
      <c r="L825" s="355">
        <f>'RGVM FGD'!$L$88</f>
        <v>0</v>
      </c>
      <c r="M825" s="357">
        <f>'RGVM FGD'!$M$88</f>
        <v>330000</v>
      </c>
      <c r="O825" s="305"/>
    </row>
    <row r="826" spans="1:15" hidden="1" outlineLevel="1">
      <c r="B826" s="392" t="str">
        <f>'SWM FGD'!$B$2</f>
        <v>The University of Texas Southwestern Medical Center</v>
      </c>
      <c r="D826" s="355">
        <f>'SWM FGD'!$D$88</f>
        <v>0</v>
      </c>
      <c r="E826" s="355">
        <f>'SWM FGD'!$E$88</f>
        <v>0</v>
      </c>
      <c r="F826" s="355">
        <f>'SWM FGD'!$F$88</f>
        <v>0</v>
      </c>
      <c r="G826" s="355">
        <f>'SWM FGD'!$G$88</f>
        <v>322976</v>
      </c>
      <c r="H826" s="355">
        <f>'SWM FGD'!$H$88</f>
        <v>0</v>
      </c>
      <c r="I826" s="355">
        <f>'SWM FGD'!$I$88</f>
        <v>19810286</v>
      </c>
      <c r="J826" s="355">
        <f>'SWM FGD'!$J$88</f>
        <v>0</v>
      </c>
      <c r="K826" s="355">
        <f>'SWM FGD'!$K$88</f>
        <v>0</v>
      </c>
      <c r="L826" s="355">
        <f>'SWM FGD'!$L$88</f>
        <v>0</v>
      </c>
      <c r="M826" s="357">
        <f>'SWM FGD'!$M$88</f>
        <v>20133262</v>
      </c>
      <c r="O826" s="305"/>
    </row>
    <row r="827" spans="1:15" hidden="1" outlineLevel="1">
      <c r="B827" s="392" t="str">
        <f>'TAMHSC FGD'!$B$2</f>
        <v>Texas A&amp;M University System Health Science Center</v>
      </c>
      <c r="D827" s="355">
        <f>'TAMHSC FGD'!$D$88</f>
        <v>0</v>
      </c>
      <c r="E827" s="355">
        <f>'TAMHSC FGD'!$E$88</f>
        <v>0</v>
      </c>
      <c r="F827" s="355">
        <f>'TAMHSC FGD'!$F$88</f>
        <v>0</v>
      </c>
      <c r="G827" s="355">
        <f>'TAMHSC FGD'!$G$88</f>
        <v>0</v>
      </c>
      <c r="H827" s="355">
        <f>'TAMHSC FGD'!$H$88</f>
        <v>0</v>
      </c>
      <c r="I827" s="355">
        <f>'TAMHSC FGD'!$I$88</f>
        <v>2000</v>
      </c>
      <c r="J827" s="355">
        <f>'TAMHSC FGD'!$J$88</f>
        <v>0</v>
      </c>
      <c r="K827" s="355">
        <f>'TAMHSC FGD'!$K$88</f>
        <v>0</v>
      </c>
      <c r="L827" s="355">
        <f>'TAMHSC FGD'!$L$88</f>
        <v>0</v>
      </c>
      <c r="M827" s="357">
        <f>'TAMHSC FGD'!$M$88</f>
        <v>2000</v>
      </c>
      <c r="O827" s="305"/>
    </row>
    <row r="828" spans="1:15" hidden="1" outlineLevel="1">
      <c r="B828" s="392" t="str">
        <f>'THC FGD'!$B$2</f>
        <v>The University of Texas Health Science Center at Tyler</v>
      </c>
      <c r="D828" s="355">
        <f>'THC FGD'!$D$88</f>
        <v>0</v>
      </c>
      <c r="E828" s="355">
        <f>'THC FGD'!$E$88</f>
        <v>0</v>
      </c>
      <c r="F828" s="355">
        <f>'THC FGD'!$F$88</f>
        <v>0</v>
      </c>
      <c r="G828" s="355">
        <f>'THC FGD'!$G$88</f>
        <v>0</v>
      </c>
      <c r="H828" s="355">
        <f>'THC FGD'!$H$88</f>
        <v>0</v>
      </c>
      <c r="I828" s="355">
        <f>'THC FGD'!$I$88</f>
        <v>0</v>
      </c>
      <c r="J828" s="355">
        <f>'THC FGD'!$J$88</f>
        <v>0</v>
      </c>
      <c r="K828" s="355">
        <f>'THC FGD'!$K$88</f>
        <v>0</v>
      </c>
      <c r="L828" s="355">
        <f>'THC FGD'!$L$88</f>
        <v>0</v>
      </c>
      <c r="M828" s="357">
        <f>'THC FGD'!$M$88</f>
        <v>0</v>
      </c>
      <c r="O828" s="305"/>
    </row>
    <row r="829" spans="1:15" hidden="1" outlineLevel="1">
      <c r="B829" s="392" t="str">
        <f>'TTUHSC FGD'!$B$2</f>
        <v>Texas Tech University Health Sciences Center</v>
      </c>
      <c r="D829" s="355">
        <f>'TTUHSC FGD'!$D$88</f>
        <v>0</v>
      </c>
      <c r="E829" s="355">
        <f>'TTUHSC FGD'!$E$88</f>
        <v>0</v>
      </c>
      <c r="F829" s="355">
        <f>'TTUHSC FGD'!$F$88</f>
        <v>0</v>
      </c>
      <c r="G829" s="355">
        <f>'TTUHSC FGD'!$G$88</f>
        <v>0</v>
      </c>
      <c r="H829" s="355">
        <f>'TTUHSC FGD'!$H$88</f>
        <v>0</v>
      </c>
      <c r="I829" s="355">
        <f>'TTUHSC FGD'!$I$88</f>
        <v>1968342</v>
      </c>
      <c r="J829" s="355">
        <f>'TTUHSC FGD'!$J$88</f>
        <v>0</v>
      </c>
      <c r="K829" s="355">
        <f>'TTUHSC FGD'!$K$88</f>
        <v>0</v>
      </c>
      <c r="L829" s="355">
        <f>'TTUHSC FGD'!$L$88</f>
        <v>0</v>
      </c>
      <c r="M829" s="357">
        <f>'TTUHSC FGD'!$M$88</f>
        <v>1968342</v>
      </c>
      <c r="O829" s="305"/>
    </row>
    <row r="830" spans="1:15" hidden="1" outlineLevel="1">
      <c r="B830" s="392" t="str">
        <f>'TTUHSCEP FGD'!$B$2</f>
        <v>Texas Tech University Health Sciences Center at El Paso</v>
      </c>
      <c r="D830" s="355">
        <f>'TTUHSCEP FGD'!$D$88</f>
        <v>0</v>
      </c>
      <c r="E830" s="355">
        <f>'TTUHSCEP FGD'!$E$88</f>
        <v>0</v>
      </c>
      <c r="F830" s="355">
        <f>'TTUHSCEP FGD'!$F$88</f>
        <v>0</v>
      </c>
      <c r="G830" s="355">
        <f>'TTUHSCEP FGD'!$G$88</f>
        <v>0</v>
      </c>
      <c r="H830" s="355">
        <f>'TTUHSCEP FGD'!$H$88</f>
        <v>0</v>
      </c>
      <c r="I830" s="355">
        <f>'TTUHSCEP FGD'!$I$88</f>
        <v>756</v>
      </c>
      <c r="J830" s="355">
        <f>'TTUHSCEP FGD'!$J$88</f>
        <v>0</v>
      </c>
      <c r="K830" s="355">
        <f>'TTUHSCEP FGD'!$K$88</f>
        <v>0</v>
      </c>
      <c r="L830" s="355">
        <f>'TTUHSCEP FGD'!$L$88</f>
        <v>0</v>
      </c>
      <c r="M830" s="357">
        <f>'TTUHSCEP FGD'!$M$88</f>
        <v>756</v>
      </c>
      <c r="O830" s="305"/>
    </row>
    <row r="831" spans="1:15" hidden="1" outlineLevel="1">
      <c r="B831" s="392" t="str">
        <f>'UNTHSC FGD'!$B$2</f>
        <v>University of North Texas Health Science Center at Fort Worth</v>
      </c>
      <c r="D831" s="355">
        <f>'UNTHSC FGD'!$D$88</f>
        <v>0</v>
      </c>
      <c r="E831" s="355">
        <f>'UNTHSC FGD'!$E$88</f>
        <v>0</v>
      </c>
      <c r="F831" s="355">
        <f>'UNTHSC FGD'!$F$88</f>
        <v>0</v>
      </c>
      <c r="G831" s="355">
        <f>'UNTHSC FGD'!$G$88</f>
        <v>0</v>
      </c>
      <c r="H831" s="355">
        <f>'UNTHSC FGD'!$H$88</f>
        <v>0</v>
      </c>
      <c r="I831" s="355">
        <f>'UNTHSC FGD'!$I$88</f>
        <v>4000000</v>
      </c>
      <c r="J831" s="355">
        <f>'UNTHSC FGD'!$J$88</f>
        <v>0</v>
      </c>
      <c r="K831" s="355">
        <f>'UNTHSC FGD'!$K$88</f>
        <v>0</v>
      </c>
      <c r="L831" s="355">
        <f>'UNTHSC FGD'!$L$88</f>
        <v>0</v>
      </c>
      <c r="M831" s="357">
        <f>'UNTHSC FGD'!$M$88</f>
        <v>4000000</v>
      </c>
      <c r="O831" s="305"/>
    </row>
    <row r="832" spans="1:15" collapsed="1">
      <c r="A832" s="147">
        <v>71</v>
      </c>
      <c r="B832" s="149" t="s">
        <v>45</v>
      </c>
      <c r="D832" s="355">
        <f t="shared" ref="D832:M832" si="61">SUM(D820:D831)</f>
        <v>0</v>
      </c>
      <c r="E832" s="355">
        <f t="shared" si="61"/>
        <v>0</v>
      </c>
      <c r="F832" s="355">
        <f t="shared" si="61"/>
        <v>0</v>
      </c>
      <c r="G832" s="355">
        <f t="shared" si="61"/>
        <v>977424</v>
      </c>
      <c r="H832" s="355">
        <f t="shared" si="61"/>
        <v>0</v>
      </c>
      <c r="I832" s="355">
        <f t="shared" si="61"/>
        <v>72005733</v>
      </c>
      <c r="J832" s="355">
        <f t="shared" si="61"/>
        <v>0</v>
      </c>
      <c r="K832" s="355">
        <f t="shared" si="61"/>
        <v>0</v>
      </c>
      <c r="L832" s="355">
        <f t="shared" si="61"/>
        <v>0</v>
      </c>
      <c r="M832" s="357">
        <f t="shared" si="61"/>
        <v>72983157</v>
      </c>
      <c r="O832" s="305"/>
    </row>
    <row r="833" spans="1:15" hidden="1" outlineLevel="1">
      <c r="B833" s="392" t="str">
        <f>'AUSM FGD'!$B$2</f>
        <v>The University of Texas at Austin Medical School (M)</v>
      </c>
      <c r="D833" s="355">
        <f>'AUSM FGD'!$D$89</f>
        <v>0</v>
      </c>
      <c r="E833" s="355">
        <f>'AUSM FGD'!$E$89</f>
        <v>0</v>
      </c>
      <c r="F833" s="355">
        <f>'AUSM FGD'!$F$89</f>
        <v>0</v>
      </c>
      <c r="G833" s="355">
        <f>'AUSM FGD'!$G$89</f>
        <v>118567</v>
      </c>
      <c r="H833" s="355">
        <f>'AUSM FGD'!$H$89</f>
        <v>0</v>
      </c>
      <c r="I833" s="355">
        <f>'AUSM FGD'!$I$89</f>
        <v>2851972</v>
      </c>
      <c r="J833" s="355">
        <f>'AUSM FGD'!$J$89</f>
        <v>0</v>
      </c>
      <c r="K833" s="355">
        <f>'AUSM FGD'!$K$89</f>
        <v>0</v>
      </c>
      <c r="L833" s="355">
        <f>'AUSM FGD'!$L$89</f>
        <v>0</v>
      </c>
      <c r="M833" s="357">
        <f>'AUSM FGD'!$M$89</f>
        <v>2970539</v>
      </c>
      <c r="O833" s="305"/>
    </row>
    <row r="834" spans="1:15" hidden="1" outlineLevel="1">
      <c r="B834" s="392" t="str">
        <f>'HSH FGD'!$B$2</f>
        <v>The University of Texas Health Science Center at Houston</v>
      </c>
      <c r="D834" s="355">
        <f>'HSH FGD'!$D$89</f>
        <v>0</v>
      </c>
      <c r="E834" s="355">
        <f>'HSH FGD'!$E$89</f>
        <v>-9190963</v>
      </c>
      <c r="F834" s="355">
        <f>'HSH FGD'!$F$89</f>
        <v>0</v>
      </c>
      <c r="G834" s="355">
        <f>'HSH FGD'!$G$89</f>
        <v>189318</v>
      </c>
      <c r="H834" s="355">
        <f>'HSH FGD'!$H$89</f>
        <v>0</v>
      </c>
      <c r="I834" s="355">
        <f>'HSH FGD'!$I$89</f>
        <v>39026149</v>
      </c>
      <c r="J834" s="355">
        <f>'HSH FGD'!$J$89</f>
        <v>0</v>
      </c>
      <c r="K834" s="355">
        <f>'HSH FGD'!$K$89</f>
        <v>0</v>
      </c>
      <c r="L834" s="355">
        <f>'HSH FGD'!$L$89</f>
        <v>0</v>
      </c>
      <c r="M834" s="357">
        <f>'HSH FGD'!$M$89</f>
        <v>30024504</v>
      </c>
      <c r="O834" s="305"/>
    </row>
    <row r="835" spans="1:15" hidden="1" outlineLevel="1">
      <c r="B835" s="392" t="str">
        <f>'HSSA FGD'!$B$2</f>
        <v>The University of Texas Health Science Center at San Antonio</v>
      </c>
      <c r="D835" s="355">
        <f>'HSSA FGD'!$D$89</f>
        <v>0</v>
      </c>
      <c r="E835" s="355">
        <f>'HSSA FGD'!$E$89</f>
        <v>-148503</v>
      </c>
      <c r="F835" s="355">
        <f>'HSSA FGD'!$F$89</f>
        <v>0</v>
      </c>
      <c r="G835" s="355">
        <f>'HSSA FGD'!$G$89</f>
        <v>156105</v>
      </c>
      <c r="H835" s="355">
        <f>'HSSA FGD'!$H$89</f>
        <v>6736</v>
      </c>
      <c r="I835" s="355">
        <f>'HSSA FGD'!$I$89</f>
        <v>36060114</v>
      </c>
      <c r="J835" s="355">
        <f>'HSSA FGD'!$J$89</f>
        <v>0</v>
      </c>
      <c r="K835" s="355">
        <f>'HSSA FGD'!$K$89</f>
        <v>0</v>
      </c>
      <c r="L835" s="355">
        <f>'HSSA FGD'!$L$89</f>
        <v>0</v>
      </c>
      <c r="M835" s="357">
        <f>'HSSA FGD'!$M$89</f>
        <v>36074452</v>
      </c>
      <c r="O835" s="305"/>
    </row>
    <row r="836" spans="1:15" hidden="1" outlineLevel="1">
      <c r="B836" s="392" t="str">
        <f>'MBG FGD'!$B$2</f>
        <v>The University of Texas Medical Branch at Galveston</v>
      </c>
      <c r="D836" s="355">
        <f>'MBG FGD'!$D$89</f>
        <v>50663</v>
      </c>
      <c r="E836" s="355">
        <f>'MBG FGD'!$E$89</f>
        <v>74594</v>
      </c>
      <c r="F836" s="355">
        <f>'MBG FGD'!$F$89</f>
        <v>0</v>
      </c>
      <c r="G836" s="355">
        <f>'MBG FGD'!$G$89</f>
        <v>114350</v>
      </c>
      <c r="H836" s="355">
        <f>'MBG FGD'!$H$89</f>
        <v>0</v>
      </c>
      <c r="I836" s="355">
        <f>'MBG FGD'!$I$89</f>
        <v>30369490</v>
      </c>
      <c r="J836" s="355">
        <f>'MBG FGD'!$J$89</f>
        <v>0</v>
      </c>
      <c r="K836" s="355">
        <f>'MBG FGD'!$K$89</f>
        <v>0</v>
      </c>
      <c r="L836" s="355">
        <f>'MBG FGD'!$L$89</f>
        <v>0</v>
      </c>
      <c r="M836" s="357">
        <f>'MBG FGD'!$M$89</f>
        <v>30609097</v>
      </c>
      <c r="O836" s="305"/>
    </row>
    <row r="837" spans="1:15" hidden="1" outlineLevel="1">
      <c r="B837" s="392" t="str">
        <f>'MDA FGD'!$B$2</f>
        <v>The University of Texas M.D. Anderson Cancer Center</v>
      </c>
      <c r="D837" s="355">
        <f>'MDA FGD'!$D$89</f>
        <v>-1026026</v>
      </c>
      <c r="E837" s="355">
        <f>'MDA FGD'!$E$89</f>
        <v>7955686</v>
      </c>
      <c r="F837" s="355">
        <f>'MDA FGD'!$F$89</f>
        <v>0</v>
      </c>
      <c r="G837" s="355">
        <f>'MDA FGD'!$G$89</f>
        <v>330468</v>
      </c>
      <c r="H837" s="355">
        <f>'MDA FGD'!$H$89</f>
        <v>0</v>
      </c>
      <c r="I837" s="355">
        <f>'MDA FGD'!$I$89</f>
        <v>68044367</v>
      </c>
      <c r="J837" s="355">
        <f>'MDA FGD'!$J$89</f>
        <v>0</v>
      </c>
      <c r="K837" s="355">
        <f>'MDA FGD'!$K$89</f>
        <v>0</v>
      </c>
      <c r="L837" s="355">
        <f>'MDA FGD'!$L$89</f>
        <v>0</v>
      </c>
      <c r="M837" s="357">
        <f>'MDA FGD'!$M$89</f>
        <v>75304495</v>
      </c>
      <c r="O837" s="305"/>
    </row>
    <row r="838" spans="1:15" hidden="1" outlineLevel="1">
      <c r="B838" s="392" t="str">
        <f>'RGVM FGD'!$B$2</f>
        <v>The University of Texas Rio Grande Valley Medical School (M)</v>
      </c>
      <c r="D838" s="355">
        <f>'RGVM FGD'!$D$89</f>
        <v>0</v>
      </c>
      <c r="E838" s="355">
        <f>'RGVM FGD'!$E$89</f>
        <v>0</v>
      </c>
      <c r="F838" s="355">
        <f>'RGVM FGD'!$F$89</f>
        <v>0</v>
      </c>
      <c r="G838" s="355">
        <f>'RGVM FGD'!$G$89</f>
        <v>0</v>
      </c>
      <c r="H838" s="355">
        <f>'RGVM FGD'!$H$89</f>
        <v>0</v>
      </c>
      <c r="I838" s="355">
        <f>'RGVM FGD'!$I$89</f>
        <v>345251</v>
      </c>
      <c r="J838" s="355">
        <f>'RGVM FGD'!$J$89</f>
        <v>0</v>
      </c>
      <c r="K838" s="355">
        <f>'RGVM FGD'!$K$89</f>
        <v>0</v>
      </c>
      <c r="L838" s="355">
        <f>'RGVM FGD'!$L$89</f>
        <v>0</v>
      </c>
      <c r="M838" s="357">
        <f>'RGVM FGD'!$M$89</f>
        <v>345251</v>
      </c>
      <c r="O838" s="305"/>
    </row>
    <row r="839" spans="1:15" hidden="1" outlineLevel="1">
      <c r="B839" s="392" t="str">
        <f>'SWM FGD'!$B$2</f>
        <v>The University of Texas Southwestern Medical Center</v>
      </c>
      <c r="D839" s="355">
        <f>'SWM FGD'!$D$89</f>
        <v>0</v>
      </c>
      <c r="E839" s="355">
        <f>'SWM FGD'!$E$89</f>
        <v>5285364</v>
      </c>
      <c r="F839" s="355">
        <f>'SWM FGD'!$F$89</f>
        <v>-110137</v>
      </c>
      <c r="G839" s="355">
        <f>'SWM FGD'!$G$89</f>
        <v>-6695002</v>
      </c>
      <c r="H839" s="355">
        <f>'SWM FGD'!$H$89</f>
        <v>-38890</v>
      </c>
      <c r="I839" s="355">
        <f>'SWM FGD'!$I$89</f>
        <v>68899680</v>
      </c>
      <c r="J839" s="355">
        <f>'SWM FGD'!$J$89</f>
        <v>-7265483</v>
      </c>
      <c r="K839" s="355">
        <f>'SWM FGD'!$K$89</f>
        <v>0</v>
      </c>
      <c r="L839" s="355">
        <f>'SWM FGD'!$L$89</f>
        <v>0</v>
      </c>
      <c r="M839" s="357">
        <f>'SWM FGD'!$M$89</f>
        <v>60075532</v>
      </c>
      <c r="O839" s="305"/>
    </row>
    <row r="840" spans="1:15" hidden="1" outlineLevel="1">
      <c r="B840" s="392" t="str">
        <f>'TAMHSC FGD'!$B$2</f>
        <v>Texas A&amp;M University System Health Science Center</v>
      </c>
      <c r="D840" s="355">
        <f>'TAMHSC FGD'!$D$89</f>
        <v>-229985</v>
      </c>
      <c r="E840" s="355">
        <f>'TAMHSC FGD'!$E$89</f>
        <v>2224582</v>
      </c>
      <c r="F840" s="355">
        <f>'TAMHSC FGD'!$F$89</f>
        <v>0</v>
      </c>
      <c r="G840" s="355">
        <f>'TAMHSC FGD'!$G$89</f>
        <v>0</v>
      </c>
      <c r="H840" s="355">
        <f>'TAMHSC FGD'!$H$89</f>
        <v>0</v>
      </c>
      <c r="I840" s="355">
        <f>'TAMHSC FGD'!$I$89</f>
        <v>2675825</v>
      </c>
      <c r="J840" s="355">
        <f>'TAMHSC FGD'!$J$89</f>
        <v>0</v>
      </c>
      <c r="K840" s="355">
        <f>'TAMHSC FGD'!$K$89</f>
        <v>0</v>
      </c>
      <c r="L840" s="355">
        <f>'TAMHSC FGD'!$L$89</f>
        <v>0</v>
      </c>
      <c r="M840" s="357">
        <f>'TAMHSC FGD'!$M$89</f>
        <v>4670422</v>
      </c>
      <c r="O840" s="305"/>
    </row>
    <row r="841" spans="1:15" hidden="1" outlineLevel="1">
      <c r="B841" s="392" t="str">
        <f>'THC FGD'!$B$2</f>
        <v>The University of Texas Health Science Center at Tyler</v>
      </c>
      <c r="D841" s="355">
        <f>'THC FGD'!$D$89</f>
        <v>16911</v>
      </c>
      <c r="E841" s="355">
        <f>'THC FGD'!$E$89</f>
        <v>-54945</v>
      </c>
      <c r="F841" s="355">
        <f>'THC FGD'!$F$89</f>
        <v>0</v>
      </c>
      <c r="G841" s="355">
        <f>'THC FGD'!$G$89</f>
        <v>13416</v>
      </c>
      <c r="H841" s="355">
        <f>'THC FGD'!$H$89</f>
        <v>0</v>
      </c>
      <c r="I841" s="355">
        <f>'THC FGD'!$I$89</f>
        <v>2407484</v>
      </c>
      <c r="J841" s="355">
        <f>'THC FGD'!$J$89</f>
        <v>0</v>
      </c>
      <c r="K841" s="355">
        <f>'THC FGD'!$K$89</f>
        <v>0</v>
      </c>
      <c r="L841" s="355">
        <f>'THC FGD'!$L$89</f>
        <v>0</v>
      </c>
      <c r="M841" s="357">
        <f>'THC FGD'!$M$89</f>
        <v>2382866</v>
      </c>
      <c r="O841" s="305"/>
    </row>
    <row r="842" spans="1:15" hidden="1" outlineLevel="1">
      <c r="B842" s="392" t="str">
        <f>'TTUHSC FGD'!$B$2</f>
        <v>Texas Tech University Health Sciences Center</v>
      </c>
      <c r="D842" s="355">
        <f>'TTUHSC FGD'!$D$89</f>
        <v>0</v>
      </c>
      <c r="E842" s="355">
        <f>'TTUHSC FGD'!$E$89</f>
        <v>-706841</v>
      </c>
      <c r="F842" s="355">
        <f>'TTUHSC FGD'!$F$89</f>
        <v>0</v>
      </c>
      <c r="G842" s="355">
        <f>'TTUHSC FGD'!$G$89</f>
        <v>-285357</v>
      </c>
      <c r="H842" s="355">
        <f>'TTUHSC FGD'!$H$89</f>
        <v>0</v>
      </c>
      <c r="I842" s="355">
        <f>'TTUHSC FGD'!$I$89</f>
        <v>5969020</v>
      </c>
      <c r="J842" s="355">
        <f>'TTUHSC FGD'!$J$89</f>
        <v>0</v>
      </c>
      <c r="K842" s="355">
        <f>'TTUHSC FGD'!$K$89</f>
        <v>0</v>
      </c>
      <c r="L842" s="355">
        <f>'TTUHSC FGD'!$L$89</f>
        <v>0</v>
      </c>
      <c r="M842" s="357">
        <f>'TTUHSC FGD'!$M$89</f>
        <v>4976822</v>
      </c>
      <c r="O842" s="305"/>
    </row>
    <row r="843" spans="1:15" hidden="1" outlineLevel="1">
      <c r="B843" s="392" t="str">
        <f>'TTUHSCEP FGD'!$B$2</f>
        <v>Texas Tech University Health Sciences Center at El Paso</v>
      </c>
      <c r="D843" s="355">
        <f>'TTUHSCEP FGD'!$D$89</f>
        <v>0</v>
      </c>
      <c r="E843" s="355">
        <f>'TTUHSCEP FGD'!$E$89</f>
        <v>-4220</v>
      </c>
      <c r="F843" s="355">
        <f>'TTUHSCEP FGD'!$F$89</f>
        <v>0</v>
      </c>
      <c r="G843" s="355">
        <f>'TTUHSCEP FGD'!$G$89</f>
        <v>0</v>
      </c>
      <c r="H843" s="355">
        <f>'TTUHSCEP FGD'!$H$89</f>
        <v>0</v>
      </c>
      <c r="I843" s="355">
        <f>'TTUHSCEP FGD'!$I$89</f>
        <v>2200450</v>
      </c>
      <c r="J843" s="355">
        <f>'TTUHSCEP FGD'!$J$89</f>
        <v>0</v>
      </c>
      <c r="K843" s="355">
        <f>'TTUHSCEP FGD'!$K$89</f>
        <v>0</v>
      </c>
      <c r="L843" s="355">
        <f>'TTUHSCEP FGD'!$L$89</f>
        <v>0</v>
      </c>
      <c r="M843" s="357">
        <f>'TTUHSCEP FGD'!$M$89</f>
        <v>2196230</v>
      </c>
      <c r="O843" s="305"/>
    </row>
    <row r="844" spans="1:15" hidden="1" outlineLevel="1">
      <c r="B844" s="392" t="str">
        <f>'UNTHSC FGD'!$B$2</f>
        <v>University of North Texas Health Science Center at Fort Worth</v>
      </c>
      <c r="D844" s="355">
        <f>'UNTHSC FGD'!$D$89</f>
        <v>0</v>
      </c>
      <c r="E844" s="355">
        <f>'UNTHSC FGD'!$E$89</f>
        <v>1300612</v>
      </c>
      <c r="F844" s="355">
        <f>'UNTHSC FGD'!$F$89</f>
        <v>0</v>
      </c>
      <c r="G844" s="355">
        <f>'UNTHSC FGD'!$G$89</f>
        <v>1085</v>
      </c>
      <c r="H844" s="355">
        <f>'UNTHSC FGD'!$H$89</f>
        <v>0</v>
      </c>
      <c r="I844" s="355">
        <f>'UNTHSC FGD'!$I$89</f>
        <v>3064767</v>
      </c>
      <c r="J844" s="355">
        <f>'UNTHSC FGD'!$J$89</f>
        <v>0</v>
      </c>
      <c r="K844" s="355">
        <f>'UNTHSC FGD'!$K$89</f>
        <v>0</v>
      </c>
      <c r="L844" s="355">
        <f>'UNTHSC FGD'!$L$89</f>
        <v>0</v>
      </c>
      <c r="M844" s="357">
        <f>'UNTHSC FGD'!$M$89</f>
        <v>4366464</v>
      </c>
      <c r="O844" s="305"/>
    </row>
    <row r="845" spans="1:15" collapsed="1">
      <c r="A845" s="147">
        <v>72</v>
      </c>
      <c r="B845" s="164" t="s">
        <v>3</v>
      </c>
      <c r="C845" s="164"/>
      <c r="D845" s="356">
        <f t="shared" ref="D845:M845" si="62">SUM(D833:D844)</f>
        <v>-1188437</v>
      </c>
      <c r="E845" s="356">
        <f t="shared" si="62"/>
        <v>6735366</v>
      </c>
      <c r="F845" s="356">
        <f t="shared" si="62"/>
        <v>-110137</v>
      </c>
      <c r="G845" s="356">
        <f t="shared" si="62"/>
        <v>-6057050</v>
      </c>
      <c r="H845" s="356">
        <f t="shared" si="62"/>
        <v>-32154</v>
      </c>
      <c r="I845" s="356">
        <f t="shared" si="62"/>
        <v>261914569</v>
      </c>
      <c r="J845" s="356">
        <f t="shared" si="62"/>
        <v>-7265483</v>
      </c>
      <c r="K845" s="356">
        <f t="shared" si="62"/>
        <v>0</v>
      </c>
      <c r="L845" s="356">
        <f t="shared" si="62"/>
        <v>0</v>
      </c>
      <c r="M845" s="356">
        <f t="shared" si="62"/>
        <v>253996674</v>
      </c>
      <c r="O845" s="293" t="str">
        <f>IF(M845&lt;&gt;M1062,"Error","OK")</f>
        <v>OK</v>
      </c>
    </row>
    <row r="846" spans="1:15">
      <c r="A846" s="147">
        <v>73</v>
      </c>
      <c r="D846" s="357"/>
      <c r="E846" s="357"/>
      <c r="F846" s="357"/>
      <c r="G846" s="357"/>
      <c r="H846" s="357"/>
      <c r="I846" s="357"/>
      <c r="J846" s="357"/>
      <c r="K846" s="357"/>
      <c r="L846" s="357"/>
      <c r="M846" s="357"/>
    </row>
    <row r="847" spans="1:15" hidden="1" outlineLevel="1">
      <c r="B847" s="392" t="str">
        <f>'AUSM FGD'!$B$2</f>
        <v>The University of Texas at Austin Medical School (M)</v>
      </c>
      <c r="D847" s="357">
        <f>'AUSM FGD'!$D$91</f>
        <v>-42335350</v>
      </c>
      <c r="E847" s="357">
        <f>'AUSM FGD'!$E$91</f>
        <v>-13168134</v>
      </c>
      <c r="F847" s="357">
        <f>'AUSM FGD'!$F$91</f>
        <v>-2381361</v>
      </c>
      <c r="G847" s="357">
        <f>'AUSM FGD'!$G$91</f>
        <v>8984829</v>
      </c>
      <c r="H847" s="357">
        <f>'AUSM FGD'!$H$91</f>
        <v>0</v>
      </c>
      <c r="I847" s="357">
        <f>'AUSM FGD'!$I$91</f>
        <v>2956567</v>
      </c>
      <c r="J847" s="357">
        <f>'AUSM FGD'!$J$91</f>
        <v>-27398012</v>
      </c>
      <c r="K847" s="357">
        <f>'AUSM FGD'!$K$91</f>
        <v>0</v>
      </c>
      <c r="L847" s="357">
        <f>'AUSM FGD'!$L$91</f>
        <v>122060</v>
      </c>
      <c r="M847" s="357">
        <f>'AUSM FGD'!$M$91</f>
        <v>-73219401</v>
      </c>
    </row>
    <row r="848" spans="1:15" hidden="1" outlineLevel="1">
      <c r="B848" s="392" t="str">
        <f>'HSH FGD'!$B$2</f>
        <v>The University of Texas Health Science Center at Houston</v>
      </c>
      <c r="D848" s="357">
        <f>'HSH FGD'!$D$91</f>
        <v>14742316</v>
      </c>
      <c r="E848" s="357">
        <f>'HSH FGD'!$E$91</f>
        <v>-68520262</v>
      </c>
      <c r="F848" s="357">
        <f>'HSH FGD'!$F$91</f>
        <v>-15176958</v>
      </c>
      <c r="G848" s="357">
        <f>'HSH FGD'!$G$91</f>
        <v>6690267</v>
      </c>
      <c r="H848" s="357">
        <f>'HSH FGD'!$H$91</f>
        <v>-2678422</v>
      </c>
      <c r="I848" s="357">
        <f>'HSH FGD'!$I$91</f>
        <v>142772594</v>
      </c>
      <c r="J848" s="357">
        <f>'HSH FGD'!$J$91</f>
        <v>-29522821</v>
      </c>
      <c r="K848" s="357">
        <f>'HSH FGD'!$K$91</f>
        <v>0</v>
      </c>
      <c r="L848" s="357">
        <f>'HSH FGD'!$L$91</f>
        <v>-544892</v>
      </c>
      <c r="M848" s="357">
        <f>'HSH FGD'!$M$91</f>
        <v>47761822</v>
      </c>
    </row>
    <row r="849" spans="1:15" hidden="1" outlineLevel="1">
      <c r="B849" s="392" t="str">
        <f>'HSSA FGD'!$B$2</f>
        <v>The University of Texas Health Science Center at San Antonio</v>
      </c>
      <c r="D849" s="357">
        <f>'HSSA FGD'!$D$91</f>
        <v>309061</v>
      </c>
      <c r="E849" s="357">
        <f>'HSSA FGD'!$E$91</f>
        <v>7513790</v>
      </c>
      <c r="F849" s="357">
        <f>'HSSA FGD'!$F$91</f>
        <v>-17427</v>
      </c>
      <c r="G849" s="357">
        <f>'HSSA FGD'!$G$91</f>
        <v>-8798999</v>
      </c>
      <c r="H849" s="357">
        <f>'HSSA FGD'!$H$91</f>
        <v>-5336785</v>
      </c>
      <c r="I849" s="357">
        <f>'HSSA FGD'!$I$91</f>
        <v>41918346</v>
      </c>
      <c r="J849" s="357">
        <f>'HSSA FGD'!$J$91</f>
        <v>-11717613</v>
      </c>
      <c r="K849" s="357">
        <f>'HSSA FGD'!$K$91</f>
        <v>0</v>
      </c>
      <c r="L849" s="357">
        <f>'HSSA FGD'!$L$91</f>
        <v>492640</v>
      </c>
      <c r="M849" s="357">
        <f>'HSSA FGD'!$M$91</f>
        <v>24363013</v>
      </c>
    </row>
    <row r="850" spans="1:15" hidden="1" outlineLevel="1">
      <c r="B850" s="392" t="str">
        <f>'MBG FGD'!$B$2</f>
        <v>The University of Texas Medical Branch at Galveston</v>
      </c>
      <c r="D850" s="357">
        <f>'MBG FGD'!$D$91</f>
        <v>-12596789</v>
      </c>
      <c r="E850" s="357">
        <f>'MBG FGD'!$E$91</f>
        <v>46898069</v>
      </c>
      <c r="F850" s="357">
        <f>'MBG FGD'!$F$91</f>
        <v>1003802</v>
      </c>
      <c r="G850" s="357">
        <f>'MBG FGD'!$G$91</f>
        <v>1171470</v>
      </c>
      <c r="H850" s="357">
        <f>'MBG FGD'!$H$91</f>
        <v>-1307645</v>
      </c>
      <c r="I850" s="357">
        <f>'MBG FGD'!$I$91</f>
        <v>35273518</v>
      </c>
      <c r="J850" s="357">
        <f>'MBG FGD'!$J$91</f>
        <v>-32861042</v>
      </c>
      <c r="K850" s="357">
        <f>'MBG FGD'!$K$91</f>
        <v>0</v>
      </c>
      <c r="L850" s="357">
        <f>'MBG FGD'!$L$91</f>
        <v>-2495492</v>
      </c>
      <c r="M850" s="357">
        <f>'MBG FGD'!$M$91</f>
        <v>35085891</v>
      </c>
    </row>
    <row r="851" spans="1:15" hidden="1" outlineLevel="1">
      <c r="B851" s="392" t="str">
        <f>'MDA FGD'!$B$2</f>
        <v>The University of Texas M.D. Anderson Cancer Center</v>
      </c>
      <c r="D851" s="357">
        <f>'MDA FGD'!$D$91</f>
        <v>536319277</v>
      </c>
      <c r="E851" s="357">
        <f>'MDA FGD'!$E$91</f>
        <v>68381072</v>
      </c>
      <c r="F851" s="357">
        <f>'MDA FGD'!$F$91</f>
        <v>11847376</v>
      </c>
      <c r="G851" s="357">
        <f>'MDA FGD'!$G$91</f>
        <v>-44736820</v>
      </c>
      <c r="H851" s="357">
        <f>'MDA FGD'!$H$91</f>
        <v>0</v>
      </c>
      <c r="I851" s="357">
        <f>'MDA FGD'!$I$91</f>
        <v>75757068</v>
      </c>
      <c r="J851" s="357">
        <f>'MDA FGD'!$J$91</f>
        <v>166578683</v>
      </c>
      <c r="K851" s="357">
        <f>'MDA FGD'!$K$91</f>
        <v>0</v>
      </c>
      <c r="L851" s="357">
        <f>'MDA FGD'!$L$91</f>
        <v>-1800653</v>
      </c>
      <c r="M851" s="357">
        <f>'MDA FGD'!$M$91</f>
        <v>812346003</v>
      </c>
    </row>
    <row r="852" spans="1:15" hidden="1" outlineLevel="1">
      <c r="B852" s="392" t="str">
        <f>'RGVM FGD'!$B$2</f>
        <v>The University of Texas Rio Grande Valley Medical School (M)</v>
      </c>
      <c r="D852" s="357">
        <f>'RGVM FGD'!$D$91</f>
        <v>-6522233</v>
      </c>
      <c r="E852" s="357">
        <f>'RGVM FGD'!$E$91</f>
        <v>16903238</v>
      </c>
      <c r="F852" s="357">
        <f>'RGVM FGD'!$F$91</f>
        <v>55867</v>
      </c>
      <c r="G852" s="357">
        <f>'RGVM FGD'!$G$91</f>
        <v>-572002</v>
      </c>
      <c r="H852" s="357">
        <f>'RGVM FGD'!$H$91</f>
        <v>0</v>
      </c>
      <c r="I852" s="357">
        <f>'RGVM FGD'!$I$91</f>
        <v>352196</v>
      </c>
      <c r="J852" s="357">
        <f>'RGVM FGD'!$J$91</f>
        <v>12040874</v>
      </c>
      <c r="K852" s="357">
        <f>'RGVM FGD'!$K$91</f>
        <v>0</v>
      </c>
      <c r="L852" s="357">
        <f>'RGVM FGD'!$L$91</f>
        <v>0</v>
      </c>
      <c r="M852" s="357">
        <f>'RGVM FGD'!$M$91</f>
        <v>22257940</v>
      </c>
    </row>
    <row r="853" spans="1:15" hidden="1" outlineLevel="1">
      <c r="B853" s="392" t="str">
        <f>'SWM FGD'!$B$2</f>
        <v>The University of Texas Southwestern Medical Center</v>
      </c>
      <c r="D853" s="357">
        <f>'SWM FGD'!$D$91</f>
        <v>-1766196</v>
      </c>
      <c r="E853" s="357">
        <f>'SWM FGD'!$E$91</f>
        <v>160444945</v>
      </c>
      <c r="F853" s="357">
        <f>'SWM FGD'!$F$91</f>
        <v>4035666</v>
      </c>
      <c r="G853" s="357">
        <f>'SWM FGD'!$G$91</f>
        <v>23789816</v>
      </c>
      <c r="H853" s="357">
        <f>'SWM FGD'!$H$91</f>
        <v>-5808648</v>
      </c>
      <c r="I853" s="357">
        <f>'SWM FGD'!$I$91</f>
        <v>83668860</v>
      </c>
      <c r="J853" s="357">
        <f>'SWM FGD'!$J$91</f>
        <v>-123454399</v>
      </c>
      <c r="K853" s="357">
        <f>'SWM FGD'!$K$91</f>
        <v>0</v>
      </c>
      <c r="L853" s="357">
        <f>'SWM FGD'!$L$91</f>
        <v>-3464376</v>
      </c>
      <c r="M853" s="357">
        <f>'SWM FGD'!$M$91</f>
        <v>137445668</v>
      </c>
    </row>
    <row r="854" spans="1:15" hidden="1" outlineLevel="1">
      <c r="B854" s="392" t="str">
        <f>'TAMHSC FGD'!$B$2</f>
        <v>Texas A&amp;M University System Health Science Center</v>
      </c>
      <c r="D854" s="357">
        <f>'TAMHSC FGD'!$D$91</f>
        <v>10016598</v>
      </c>
      <c r="E854" s="357">
        <f>'TAMHSC FGD'!$E$91</f>
        <v>15096172</v>
      </c>
      <c r="F854" s="357">
        <f>'TAMHSC FGD'!$F$91</f>
        <v>325044</v>
      </c>
      <c r="G854" s="357">
        <f>'TAMHSC FGD'!$G$91</f>
        <v>3235012</v>
      </c>
      <c r="H854" s="357">
        <f>'TAMHSC FGD'!$H$91</f>
        <v>132011</v>
      </c>
      <c r="I854" s="357">
        <f>'TAMHSC FGD'!$I$91</f>
        <v>4453938</v>
      </c>
      <c r="J854" s="357">
        <f>'TAMHSC FGD'!$J$91</f>
        <v>4780</v>
      </c>
      <c r="K854" s="357">
        <f>'TAMHSC FGD'!$K$91</f>
        <v>0</v>
      </c>
      <c r="L854" s="357">
        <f>'TAMHSC FGD'!$L$91</f>
        <v>3329626</v>
      </c>
      <c r="M854" s="357">
        <f>'TAMHSC FGD'!$M$91</f>
        <v>36593181</v>
      </c>
    </row>
    <row r="855" spans="1:15" hidden="1" outlineLevel="1">
      <c r="B855" s="392" t="str">
        <f>'THC FGD'!$B$2</f>
        <v>The University of Texas Health Science Center at Tyler</v>
      </c>
      <c r="D855" s="357">
        <f>'THC FGD'!$D$91</f>
        <v>-3618937</v>
      </c>
      <c r="E855" s="357">
        <f>'THC FGD'!$E$91</f>
        <v>-16044116</v>
      </c>
      <c r="F855" s="357">
        <f>'THC FGD'!$F$91</f>
        <v>20288</v>
      </c>
      <c r="G855" s="357">
        <f>'THC FGD'!$G$91</f>
        <v>317141</v>
      </c>
      <c r="H855" s="357">
        <f>'THC FGD'!$H$91</f>
        <v>0</v>
      </c>
      <c r="I855" s="357">
        <f>'THC FGD'!$I$91</f>
        <v>2431947</v>
      </c>
      <c r="J855" s="357">
        <f>'THC FGD'!$J$91</f>
        <v>-2571901</v>
      </c>
      <c r="K855" s="357">
        <f>'THC FGD'!$K$91</f>
        <v>0</v>
      </c>
      <c r="L855" s="357">
        <f>'THC FGD'!$L$91</f>
        <v>-305058</v>
      </c>
      <c r="M855" s="357">
        <f>'THC FGD'!$M$91</f>
        <v>-19770636</v>
      </c>
    </row>
    <row r="856" spans="1:15" hidden="1" outlineLevel="1">
      <c r="B856" s="392" t="str">
        <f>'TTUHSC FGD'!$B$2</f>
        <v>Texas Tech University Health Sciences Center</v>
      </c>
      <c r="D856" s="357">
        <f>'TTUHSC FGD'!$D$91</f>
        <v>-5551877</v>
      </c>
      <c r="E856" s="357">
        <f>'TTUHSC FGD'!$E$91</f>
        <v>14294948</v>
      </c>
      <c r="F856" s="357">
        <f>'TTUHSC FGD'!$F$91</f>
        <v>400826</v>
      </c>
      <c r="G856" s="357">
        <f>'TTUHSC FGD'!$G$91</f>
        <v>8438115</v>
      </c>
      <c r="H856" s="357">
        <f>'TTUHSC FGD'!$H$91</f>
        <v>-165151</v>
      </c>
      <c r="I856" s="357">
        <f>'TTUHSC FGD'!$I$91</f>
        <v>4792324</v>
      </c>
      <c r="J856" s="357">
        <f>'TTUHSC FGD'!$J$91</f>
        <v>-5479463</v>
      </c>
      <c r="K856" s="357">
        <f>'TTUHSC FGD'!$K$91</f>
        <v>0</v>
      </c>
      <c r="L856" s="357">
        <f>'TTUHSC FGD'!$L$91</f>
        <v>-536031</v>
      </c>
      <c r="M856" s="357">
        <f>'TTUHSC FGD'!$M$91</f>
        <v>16193691</v>
      </c>
    </row>
    <row r="857" spans="1:15" hidden="1" outlineLevel="1">
      <c r="B857" s="392" t="str">
        <f>'TTUHSCEP FGD'!$B$2</f>
        <v>Texas Tech University Health Sciences Center at El Paso</v>
      </c>
      <c r="D857" s="357">
        <f>'TTUHSCEP FGD'!$D$91</f>
        <v>5150621</v>
      </c>
      <c r="E857" s="357">
        <f>'TTUHSCEP FGD'!$E$91</f>
        <v>21050174</v>
      </c>
      <c r="F857" s="357">
        <f>'TTUHSCEP FGD'!$F$91</f>
        <v>67723</v>
      </c>
      <c r="G857" s="357">
        <f>'TTUHSCEP FGD'!$G$91</f>
        <v>587779</v>
      </c>
      <c r="H857" s="357">
        <f>'TTUHSCEP FGD'!$H$91</f>
        <v>3816</v>
      </c>
      <c r="I857" s="357">
        <f>'TTUHSCEP FGD'!$I$91</f>
        <v>1450878</v>
      </c>
      <c r="J857" s="357">
        <f>'TTUHSCEP FGD'!$J$91</f>
        <v>-904121</v>
      </c>
      <c r="K857" s="357">
        <f>'TTUHSCEP FGD'!$K$91</f>
        <v>0</v>
      </c>
      <c r="L857" s="357">
        <f>'TTUHSCEP FGD'!$L$91</f>
        <v>-114149</v>
      </c>
      <c r="M857" s="357">
        <f>'TTUHSCEP FGD'!$M$91</f>
        <v>27292721</v>
      </c>
    </row>
    <row r="858" spans="1:15" hidden="1" outlineLevel="1">
      <c r="B858" s="392" t="str">
        <f>'UNTHSC FGD'!$B$2</f>
        <v>University of North Texas Health Science Center at Fort Worth</v>
      </c>
      <c r="D858" s="357">
        <f>'UNTHSC FGD'!$D$91</f>
        <v>5771970</v>
      </c>
      <c r="E858" s="357">
        <f>'UNTHSC FGD'!$E$91</f>
        <v>89827891</v>
      </c>
      <c r="F858" s="357">
        <f>'UNTHSC FGD'!$F$91</f>
        <v>-273249</v>
      </c>
      <c r="G858" s="357">
        <f>'UNTHSC FGD'!$G$91</f>
        <v>10336563</v>
      </c>
      <c r="H858" s="357">
        <f>'UNTHSC FGD'!$H$91</f>
        <v>835587</v>
      </c>
      <c r="I858" s="357">
        <f>'UNTHSC FGD'!$I$91</f>
        <v>5011547</v>
      </c>
      <c r="J858" s="357">
        <f>'UNTHSC FGD'!$J$91</f>
        <v>0</v>
      </c>
      <c r="K858" s="357">
        <f>'UNTHSC FGD'!$K$91</f>
        <v>305409</v>
      </c>
      <c r="L858" s="357">
        <f>'UNTHSC FGD'!$L$91</f>
        <v>6510837</v>
      </c>
      <c r="M858" s="357">
        <f>'UNTHSC FGD'!$M$91</f>
        <v>118326555</v>
      </c>
    </row>
    <row r="859" spans="1:15" collapsed="1">
      <c r="A859" s="147">
        <v>74</v>
      </c>
      <c r="B859" s="164" t="s">
        <v>617</v>
      </c>
      <c r="C859" s="164"/>
      <c r="D859" s="356">
        <f t="shared" ref="D859:M859" si="63">SUM(D847:D858)</f>
        <v>499918461</v>
      </c>
      <c r="E859" s="356">
        <f t="shared" si="63"/>
        <v>342677787</v>
      </c>
      <c r="F859" s="356">
        <f t="shared" si="63"/>
        <v>-92403</v>
      </c>
      <c r="G859" s="356">
        <f t="shared" si="63"/>
        <v>9443171</v>
      </c>
      <c r="H859" s="356">
        <f t="shared" si="63"/>
        <v>-14325237</v>
      </c>
      <c r="I859" s="356">
        <f t="shared" si="63"/>
        <v>400839783</v>
      </c>
      <c r="J859" s="356">
        <f t="shared" si="63"/>
        <v>-55285035</v>
      </c>
      <c r="K859" s="356">
        <f t="shared" si="63"/>
        <v>305409</v>
      </c>
      <c r="L859" s="356">
        <f t="shared" si="63"/>
        <v>1194512</v>
      </c>
      <c r="M859" s="356">
        <f t="shared" si="63"/>
        <v>1184676448</v>
      </c>
      <c r="O859" s="293" t="str">
        <f>IF(M859&lt;&gt;M1064,"Error","OK")</f>
        <v>OK</v>
      </c>
    </row>
    <row r="860" spans="1:15">
      <c r="A860" s="147">
        <v>75</v>
      </c>
      <c r="D860" s="357"/>
      <c r="E860" s="357"/>
      <c r="F860" s="357"/>
      <c r="G860" s="357"/>
      <c r="H860" s="357"/>
      <c r="I860" s="357"/>
      <c r="J860" s="357"/>
      <c r="K860" s="357"/>
      <c r="L860" s="357"/>
      <c r="M860" s="357"/>
    </row>
    <row r="861" spans="1:15" hidden="1" outlineLevel="1">
      <c r="B861" s="392" t="str">
        <f>'AUSM FGD'!$B$2</f>
        <v>The University of Texas at Austin Medical School (M)</v>
      </c>
      <c r="D861" s="357">
        <f>'AUSM FGD'!$D$93</f>
        <v>0</v>
      </c>
      <c r="E861" s="357">
        <f>'AUSM FGD'!$E$93</f>
        <v>0</v>
      </c>
      <c r="F861" s="357">
        <f>'AUSM FGD'!$F$93</f>
        <v>0</v>
      </c>
      <c r="G861" s="357">
        <f>'AUSM FGD'!$G$93</f>
        <v>0</v>
      </c>
      <c r="H861" s="357">
        <f>'AUSM FGD'!$H$93</f>
        <v>0</v>
      </c>
      <c r="I861" s="357">
        <f>'AUSM FGD'!$I$93</f>
        <v>0</v>
      </c>
      <c r="J861" s="357">
        <f>'AUSM FGD'!$J$93</f>
        <v>0</v>
      </c>
      <c r="K861" s="357">
        <f>'AUSM FGD'!$K$93</f>
        <v>0</v>
      </c>
      <c r="L861" s="357">
        <f>'AUSM FGD'!$L$93</f>
        <v>-24893078</v>
      </c>
      <c r="M861" s="357">
        <f>'AUSM FGD'!$M$93</f>
        <v>-24893078</v>
      </c>
    </row>
    <row r="862" spans="1:15" hidden="1" outlineLevel="1">
      <c r="B862" s="392" t="str">
        <f>'HSH FGD'!$B$2</f>
        <v>The University of Texas Health Science Center at Houston</v>
      </c>
      <c r="D862" s="357">
        <f>'HSH FGD'!$D$93</f>
        <v>0</v>
      </c>
      <c r="E862" s="357">
        <f>'HSH FGD'!$E$93</f>
        <v>0</v>
      </c>
      <c r="F862" s="357">
        <f>'HSH FGD'!$F$93</f>
        <v>0</v>
      </c>
      <c r="G862" s="357">
        <f>'HSH FGD'!$G$93</f>
        <v>0</v>
      </c>
      <c r="H862" s="357">
        <f>'HSH FGD'!$H$93</f>
        <v>0</v>
      </c>
      <c r="I862" s="357">
        <f>'HSH FGD'!$I$93</f>
        <v>0</v>
      </c>
      <c r="J862" s="357">
        <f>'HSH FGD'!$J$93</f>
        <v>0</v>
      </c>
      <c r="K862" s="357">
        <f>'HSH FGD'!$K$93</f>
        <v>0</v>
      </c>
      <c r="L862" s="357">
        <f>'HSH FGD'!$L$93</f>
        <v>-64775812</v>
      </c>
      <c r="M862" s="357">
        <f>'HSH FGD'!$M$93</f>
        <v>-64775812</v>
      </c>
    </row>
    <row r="863" spans="1:15" hidden="1" outlineLevel="1">
      <c r="B863" s="392" t="str">
        <f>'HSSA FGD'!$B$2</f>
        <v>The University of Texas Health Science Center at San Antonio</v>
      </c>
      <c r="D863" s="357">
        <f>'HSSA FGD'!$D$93</f>
        <v>0</v>
      </c>
      <c r="E863" s="357">
        <f>'HSSA FGD'!$E$93</f>
        <v>0</v>
      </c>
      <c r="F863" s="357">
        <f>'HSSA FGD'!$F$93</f>
        <v>0</v>
      </c>
      <c r="G863" s="357">
        <f>'HSSA FGD'!$G$93</f>
        <v>0</v>
      </c>
      <c r="H863" s="357">
        <f>'HSSA FGD'!$H$93</f>
        <v>0</v>
      </c>
      <c r="I863" s="357">
        <f>'HSSA FGD'!$I$93</f>
        <v>0</v>
      </c>
      <c r="J863" s="357">
        <f>'HSSA FGD'!$J$93</f>
        <v>0</v>
      </c>
      <c r="K863" s="357">
        <f>'HSSA FGD'!$K$93</f>
        <v>0</v>
      </c>
      <c r="L863" s="357">
        <f>'HSSA FGD'!$L$93</f>
        <v>-55459098</v>
      </c>
      <c r="M863" s="357">
        <f>'HSSA FGD'!$M$93</f>
        <v>-55459098</v>
      </c>
    </row>
    <row r="864" spans="1:15" hidden="1" outlineLevel="1">
      <c r="B864" s="392" t="str">
        <f>'MBG FGD'!$B$2</f>
        <v>The University of Texas Medical Branch at Galveston</v>
      </c>
      <c r="D864" s="357">
        <f>'MBG FGD'!$D$93</f>
        <v>0</v>
      </c>
      <c r="E864" s="357">
        <f>'MBG FGD'!$E$93</f>
        <v>0</v>
      </c>
      <c r="F864" s="357">
        <f>'MBG FGD'!$F$93</f>
        <v>0</v>
      </c>
      <c r="G864" s="357">
        <f>'MBG FGD'!$G$93</f>
        <v>0</v>
      </c>
      <c r="H864" s="357">
        <f>'MBG FGD'!$H$93</f>
        <v>0</v>
      </c>
      <c r="I864" s="357">
        <f>'MBG FGD'!$I$93</f>
        <v>0</v>
      </c>
      <c r="J864" s="357">
        <f>'MBG FGD'!$J$93</f>
        <v>0</v>
      </c>
      <c r="K864" s="357">
        <f>'MBG FGD'!$K$93</f>
        <v>0</v>
      </c>
      <c r="L864" s="357">
        <f>'MBG FGD'!$L$93</f>
        <v>-158831879</v>
      </c>
      <c r="M864" s="357">
        <f>'MBG FGD'!$M$93</f>
        <v>-158831879</v>
      </c>
    </row>
    <row r="865" spans="1:13" hidden="1" outlineLevel="1">
      <c r="B865" s="392" t="str">
        <f>'MDA FGD'!$B$2</f>
        <v>The University of Texas M.D. Anderson Cancer Center</v>
      </c>
      <c r="D865" s="357">
        <f>'MDA FGD'!$D$93</f>
        <v>0</v>
      </c>
      <c r="E865" s="357">
        <f>'MDA FGD'!$E$93</f>
        <v>0</v>
      </c>
      <c r="F865" s="357">
        <f>'MDA FGD'!$F$93</f>
        <v>0</v>
      </c>
      <c r="G865" s="357">
        <f>'MDA FGD'!$G$93</f>
        <v>0</v>
      </c>
      <c r="H865" s="357">
        <f>'MDA FGD'!$H$93</f>
        <v>0</v>
      </c>
      <c r="I865" s="357">
        <f>'MDA FGD'!$I$93</f>
        <v>0</v>
      </c>
      <c r="J865" s="357">
        <f>'MDA FGD'!$J$93</f>
        <v>0</v>
      </c>
      <c r="K865" s="357">
        <f>'MDA FGD'!$K$93</f>
        <v>0</v>
      </c>
      <c r="L865" s="357">
        <f>'MDA FGD'!$L$93</f>
        <v>-365027967</v>
      </c>
      <c r="M865" s="357">
        <f>'MDA FGD'!$M$93</f>
        <v>-365027967</v>
      </c>
    </row>
    <row r="866" spans="1:13" hidden="1" outlineLevel="1">
      <c r="B866" s="392" t="str">
        <f>'RGVM FGD'!$B$2</f>
        <v>The University of Texas Rio Grande Valley Medical School (M)</v>
      </c>
      <c r="D866" s="357">
        <f>'RGVM FGD'!$D$93</f>
        <v>0</v>
      </c>
      <c r="E866" s="357">
        <f>'RGVM FGD'!$E$93</f>
        <v>0</v>
      </c>
      <c r="F866" s="357">
        <f>'RGVM FGD'!$F$93</f>
        <v>0</v>
      </c>
      <c r="G866" s="357">
        <f>'RGVM FGD'!$G$93</f>
        <v>0</v>
      </c>
      <c r="H866" s="357">
        <f>'RGVM FGD'!$H$93</f>
        <v>0</v>
      </c>
      <c r="I866" s="357">
        <f>'RGVM FGD'!$I$93</f>
        <v>0</v>
      </c>
      <c r="J866" s="357">
        <f>'RGVM FGD'!$J$93</f>
        <v>0</v>
      </c>
      <c r="K866" s="357">
        <f>'RGVM FGD'!$K$93</f>
        <v>0</v>
      </c>
      <c r="L866" s="357">
        <f>'RGVM FGD'!$L$93</f>
        <v>-7748667</v>
      </c>
      <c r="M866" s="357">
        <f>'RGVM FGD'!$M$93</f>
        <v>-7748667</v>
      </c>
    </row>
    <row r="867" spans="1:13" hidden="1" outlineLevel="1">
      <c r="B867" s="392" t="str">
        <f>'SWM FGD'!$B$2</f>
        <v>The University of Texas Southwestern Medical Center</v>
      </c>
      <c r="D867" s="357">
        <f>'SWM FGD'!$D$93</f>
        <v>0</v>
      </c>
      <c r="E867" s="357">
        <f>'SWM FGD'!$E$93</f>
        <v>0</v>
      </c>
      <c r="F867" s="357">
        <f>'SWM FGD'!$F$93</f>
        <v>0</v>
      </c>
      <c r="G867" s="357">
        <f>'SWM FGD'!$G$93</f>
        <v>0</v>
      </c>
      <c r="H867" s="357">
        <f>'SWM FGD'!$H$93</f>
        <v>0</v>
      </c>
      <c r="I867" s="357">
        <f>'SWM FGD'!$I$93</f>
        <v>0</v>
      </c>
      <c r="J867" s="357">
        <f>'SWM FGD'!$J$93</f>
        <v>0</v>
      </c>
      <c r="K867" s="357">
        <f>'SWM FGD'!$K$93</f>
        <v>0</v>
      </c>
      <c r="L867" s="357">
        <f>'SWM FGD'!$L$93</f>
        <v>-174313878</v>
      </c>
      <c r="M867" s="357">
        <f>'SWM FGD'!$M$93</f>
        <v>-174313878</v>
      </c>
    </row>
    <row r="868" spans="1:13" hidden="1" outlineLevel="1">
      <c r="B868" s="392" t="str">
        <f>'TAMHSC FGD'!$B$2</f>
        <v>Texas A&amp;M University System Health Science Center</v>
      </c>
      <c r="D868" s="357">
        <f>'TAMHSC FGD'!$D$93</f>
        <v>0</v>
      </c>
      <c r="E868" s="357">
        <f>'TAMHSC FGD'!$E$93</f>
        <v>0</v>
      </c>
      <c r="F868" s="357">
        <f>'TAMHSC FGD'!$F$93</f>
        <v>0</v>
      </c>
      <c r="G868" s="357">
        <f>'TAMHSC FGD'!$G$93</f>
        <v>0</v>
      </c>
      <c r="H868" s="357">
        <f>'TAMHSC FGD'!$H$93</f>
        <v>0</v>
      </c>
      <c r="I868" s="357">
        <f>'TAMHSC FGD'!$I$93</f>
        <v>0</v>
      </c>
      <c r="J868" s="357">
        <f>'TAMHSC FGD'!$J$93</f>
        <v>0</v>
      </c>
      <c r="K868" s="357">
        <f>'TAMHSC FGD'!$K$93</f>
        <v>0</v>
      </c>
      <c r="L868" s="357">
        <f>'TAMHSC FGD'!$L$93</f>
        <v>-18171446</v>
      </c>
      <c r="M868" s="357">
        <f>'TAMHSC FGD'!$M$93</f>
        <v>-18171446</v>
      </c>
    </row>
    <row r="869" spans="1:13" hidden="1" outlineLevel="1">
      <c r="B869" s="392" t="str">
        <f>'THC FGD'!$B$2</f>
        <v>The University of Texas Health Science Center at Tyler</v>
      </c>
      <c r="D869" s="357">
        <f>'THC FGD'!$D$93</f>
        <v>0</v>
      </c>
      <c r="E869" s="357">
        <f>'THC FGD'!$E$93</f>
        <v>0</v>
      </c>
      <c r="F869" s="357">
        <f>'THC FGD'!$F$93</f>
        <v>0</v>
      </c>
      <c r="G869" s="357">
        <f>'THC FGD'!$G$93</f>
        <v>0</v>
      </c>
      <c r="H869" s="357">
        <f>'THC FGD'!$H$93</f>
        <v>0</v>
      </c>
      <c r="I869" s="357">
        <f>'THC FGD'!$I$93</f>
        <v>0</v>
      </c>
      <c r="J869" s="357">
        <f>'THC FGD'!$J$93</f>
        <v>0</v>
      </c>
      <c r="K869" s="357">
        <f>'THC FGD'!$K$93</f>
        <v>0</v>
      </c>
      <c r="L869" s="357">
        <f>'THC FGD'!$L$93</f>
        <v>-13966143</v>
      </c>
      <c r="M869" s="357">
        <f>'THC FGD'!$M$93</f>
        <v>-13966143</v>
      </c>
    </row>
    <row r="870" spans="1:13" hidden="1" outlineLevel="1">
      <c r="B870" s="392" t="str">
        <f>'TTUHSC FGD'!$B$2</f>
        <v>Texas Tech University Health Sciences Center</v>
      </c>
      <c r="D870" s="357">
        <f>'TTUHSC FGD'!$D$93</f>
        <v>0</v>
      </c>
      <c r="E870" s="357">
        <f>'TTUHSC FGD'!$E$93</f>
        <v>0</v>
      </c>
      <c r="F870" s="357">
        <f>'TTUHSC FGD'!$F$93</f>
        <v>0</v>
      </c>
      <c r="G870" s="357">
        <f>'TTUHSC FGD'!$G$93</f>
        <v>0</v>
      </c>
      <c r="H870" s="357">
        <f>'TTUHSC FGD'!$H$93</f>
        <v>0</v>
      </c>
      <c r="I870" s="357">
        <f>'TTUHSC FGD'!$I$93</f>
        <v>0</v>
      </c>
      <c r="J870" s="357">
        <f>'TTUHSC FGD'!$J$93</f>
        <v>0</v>
      </c>
      <c r="K870" s="357">
        <f>'TTUHSC FGD'!$K$93</f>
        <v>0</v>
      </c>
      <c r="L870" s="357">
        <f>'TTUHSC FGD'!$L$93</f>
        <v>-20787805</v>
      </c>
      <c r="M870" s="357">
        <f>'TTUHSC FGD'!$M$93</f>
        <v>-20787805</v>
      </c>
    </row>
    <row r="871" spans="1:13" hidden="1" outlineLevel="1">
      <c r="B871" s="392" t="str">
        <f>'TTUHSCEP FGD'!$B$2</f>
        <v>Texas Tech University Health Sciences Center at El Paso</v>
      </c>
      <c r="D871" s="357">
        <f>'TTUHSCEP FGD'!$D$93</f>
        <v>0</v>
      </c>
      <c r="E871" s="357">
        <f>'TTUHSCEP FGD'!$E$93</f>
        <v>0</v>
      </c>
      <c r="F871" s="357">
        <f>'TTUHSCEP FGD'!$F$93</f>
        <v>0</v>
      </c>
      <c r="G871" s="357">
        <f>'TTUHSCEP FGD'!$G$93</f>
        <v>0</v>
      </c>
      <c r="H871" s="357">
        <f>'TTUHSCEP FGD'!$H$93</f>
        <v>0</v>
      </c>
      <c r="I871" s="357">
        <f>'TTUHSCEP FGD'!$I$93</f>
        <v>0</v>
      </c>
      <c r="J871" s="357">
        <f>'TTUHSCEP FGD'!$J$93</f>
        <v>0</v>
      </c>
      <c r="K871" s="357">
        <f>'TTUHSCEP FGD'!$K$93</f>
        <v>0</v>
      </c>
      <c r="L871" s="357">
        <f>'TTUHSCEP FGD'!$L$93</f>
        <v>-10723262</v>
      </c>
      <c r="M871" s="357">
        <f>'TTUHSCEP FGD'!$M$93</f>
        <v>-10723262</v>
      </c>
    </row>
    <row r="872" spans="1:13" hidden="1" outlineLevel="1">
      <c r="B872" s="392" t="str">
        <f>'UNTHSC FGD'!$B$2</f>
        <v>University of North Texas Health Science Center at Fort Worth</v>
      </c>
      <c r="D872" s="357">
        <f>'UNTHSC FGD'!$D$93</f>
        <v>0</v>
      </c>
      <c r="E872" s="357">
        <f>'UNTHSC FGD'!$E$93</f>
        <v>0</v>
      </c>
      <c r="F872" s="357">
        <f>'UNTHSC FGD'!$F$93</f>
        <v>0</v>
      </c>
      <c r="G872" s="357">
        <f>'UNTHSC FGD'!$G$93</f>
        <v>0</v>
      </c>
      <c r="H872" s="357">
        <f>'UNTHSC FGD'!$H$93</f>
        <v>0</v>
      </c>
      <c r="I872" s="357">
        <f>'UNTHSC FGD'!$I$93</f>
        <v>0</v>
      </c>
      <c r="J872" s="357">
        <f>'UNTHSC FGD'!$J$93</f>
        <v>0</v>
      </c>
      <c r="K872" s="357">
        <f>'UNTHSC FGD'!$K$93</f>
        <v>0</v>
      </c>
      <c r="L872" s="357">
        <f>'UNTHSC FGD'!$L$93</f>
        <v>-10707977</v>
      </c>
      <c r="M872" s="357">
        <f>'UNTHSC FGD'!$M$93</f>
        <v>-10707977</v>
      </c>
    </row>
    <row r="873" spans="1:13" collapsed="1">
      <c r="A873" s="147">
        <v>77</v>
      </c>
      <c r="B873" s="51" t="s">
        <v>69</v>
      </c>
      <c r="C873" s="51"/>
      <c r="D873" s="355">
        <f t="shared" ref="D873:M873" si="64">SUM(D861:D872)</f>
        <v>0</v>
      </c>
      <c r="E873" s="355">
        <f t="shared" si="64"/>
        <v>0</v>
      </c>
      <c r="F873" s="355">
        <f t="shared" si="64"/>
        <v>0</v>
      </c>
      <c r="G873" s="355">
        <f t="shared" si="64"/>
        <v>0</v>
      </c>
      <c r="H873" s="355">
        <f t="shared" si="64"/>
        <v>0</v>
      </c>
      <c r="I873" s="355">
        <f t="shared" si="64"/>
        <v>0</v>
      </c>
      <c r="J873" s="355">
        <f t="shared" si="64"/>
        <v>0</v>
      </c>
      <c r="K873" s="355">
        <f t="shared" si="64"/>
        <v>0</v>
      </c>
      <c r="L873" s="355">
        <f t="shared" si="64"/>
        <v>-925407012</v>
      </c>
      <c r="M873" s="357">
        <f t="shared" si="64"/>
        <v>-925407012</v>
      </c>
    </row>
    <row r="874" spans="1:13" hidden="1" outlineLevel="1">
      <c r="B874" s="392" t="str">
        <f>'AUSM FGD'!$B$2</f>
        <v>The University of Texas at Austin Medical School (M)</v>
      </c>
      <c r="C874" s="51"/>
      <c r="D874" s="355">
        <f>'AUSM FGD'!$D$94</f>
        <v>0</v>
      </c>
      <c r="E874" s="355">
        <f>'AUSM FGD'!$E$94</f>
        <v>0</v>
      </c>
      <c r="F874" s="355">
        <f>'AUSM FGD'!$F$94</f>
        <v>0</v>
      </c>
      <c r="G874" s="355">
        <f>'AUSM FGD'!$G$94</f>
        <v>0</v>
      </c>
      <c r="H874" s="355">
        <f>'AUSM FGD'!$H$94</f>
        <v>0</v>
      </c>
      <c r="I874" s="355">
        <f>'AUSM FGD'!$I$94</f>
        <v>0</v>
      </c>
      <c r="J874" s="355">
        <f>'AUSM FGD'!$J$94</f>
        <v>0</v>
      </c>
      <c r="K874" s="355">
        <f>'AUSM FGD'!$K$94</f>
        <v>0</v>
      </c>
      <c r="L874" s="355">
        <f>'AUSM FGD'!$L$94</f>
        <v>0</v>
      </c>
      <c r="M874" s="357">
        <f>'AUSM FGD'!$M$94</f>
        <v>0</v>
      </c>
    </row>
    <row r="875" spans="1:13" hidden="1" outlineLevel="1">
      <c r="B875" s="392" t="str">
        <f>'HSH FGD'!$B$2</f>
        <v>The University of Texas Health Science Center at Houston</v>
      </c>
      <c r="C875" s="51"/>
      <c r="D875" s="355">
        <f>'HSH FGD'!$D$94</f>
        <v>0</v>
      </c>
      <c r="E875" s="355">
        <f>'HSH FGD'!$E$94</f>
        <v>0</v>
      </c>
      <c r="F875" s="355">
        <f>'HSH FGD'!$F$94</f>
        <v>0</v>
      </c>
      <c r="G875" s="355">
        <f>'HSH FGD'!$G$94</f>
        <v>0</v>
      </c>
      <c r="H875" s="355">
        <f>'HSH FGD'!$H$94</f>
        <v>0</v>
      </c>
      <c r="I875" s="355">
        <f>'HSH FGD'!$I$94</f>
        <v>0</v>
      </c>
      <c r="J875" s="355">
        <f>'HSH FGD'!$J$94</f>
        <v>0</v>
      </c>
      <c r="K875" s="355">
        <f>'HSH FGD'!$K$94</f>
        <v>0</v>
      </c>
      <c r="L875" s="355">
        <f>'HSH FGD'!$L$94</f>
        <v>0</v>
      </c>
      <c r="M875" s="357">
        <f>'HSH FGD'!$M$94</f>
        <v>0</v>
      </c>
    </row>
    <row r="876" spans="1:13" hidden="1" outlineLevel="1">
      <c r="B876" s="392" t="str">
        <f>'HSSA FGD'!$B$2</f>
        <v>The University of Texas Health Science Center at San Antonio</v>
      </c>
      <c r="C876" s="51"/>
      <c r="D876" s="355">
        <f>'HSSA FGD'!$D$94</f>
        <v>0</v>
      </c>
      <c r="E876" s="355">
        <f>'HSSA FGD'!$E$94</f>
        <v>0</v>
      </c>
      <c r="F876" s="355">
        <f>'HSSA FGD'!$F$94</f>
        <v>0</v>
      </c>
      <c r="G876" s="355">
        <f>'HSSA FGD'!$G$94</f>
        <v>0</v>
      </c>
      <c r="H876" s="355">
        <f>'HSSA FGD'!$H$94</f>
        <v>0</v>
      </c>
      <c r="I876" s="355">
        <f>'HSSA FGD'!$I$94</f>
        <v>0</v>
      </c>
      <c r="J876" s="355">
        <f>'HSSA FGD'!$J$94</f>
        <v>0</v>
      </c>
      <c r="K876" s="355">
        <f>'HSSA FGD'!$K$94</f>
        <v>0</v>
      </c>
      <c r="L876" s="355">
        <f>'HSSA FGD'!$L$94</f>
        <v>0</v>
      </c>
      <c r="M876" s="357">
        <f>'HSSA FGD'!$M$94</f>
        <v>0</v>
      </c>
    </row>
    <row r="877" spans="1:13" hidden="1" outlineLevel="1">
      <c r="B877" s="392" t="str">
        <f>'MBG FGD'!$B$2</f>
        <v>The University of Texas Medical Branch at Galveston</v>
      </c>
      <c r="C877" s="51"/>
      <c r="D877" s="355">
        <f>'MBG FGD'!$D$94</f>
        <v>0</v>
      </c>
      <c r="E877" s="355">
        <f>'MBG FGD'!$E$94</f>
        <v>0</v>
      </c>
      <c r="F877" s="355">
        <f>'MBG FGD'!$F$94</f>
        <v>0</v>
      </c>
      <c r="G877" s="355">
        <f>'MBG FGD'!$G$94</f>
        <v>0</v>
      </c>
      <c r="H877" s="355">
        <f>'MBG FGD'!$H$94</f>
        <v>0</v>
      </c>
      <c r="I877" s="355">
        <f>'MBG FGD'!$I$94</f>
        <v>0</v>
      </c>
      <c r="J877" s="355">
        <f>'MBG FGD'!$J$94</f>
        <v>0</v>
      </c>
      <c r="K877" s="355">
        <f>'MBG FGD'!$K$94</f>
        <v>0</v>
      </c>
      <c r="L877" s="355">
        <f>'MBG FGD'!$L$94</f>
        <v>0</v>
      </c>
      <c r="M877" s="357">
        <f>'MBG FGD'!$M$94</f>
        <v>0</v>
      </c>
    </row>
    <row r="878" spans="1:13" hidden="1" outlineLevel="1">
      <c r="B878" s="392" t="str">
        <f>'MDA FGD'!$B$2</f>
        <v>The University of Texas M.D. Anderson Cancer Center</v>
      </c>
      <c r="C878" s="51"/>
      <c r="D878" s="355">
        <f>'MDA FGD'!$D$94</f>
        <v>0</v>
      </c>
      <c r="E878" s="355">
        <f>'MDA FGD'!$E$94</f>
        <v>0</v>
      </c>
      <c r="F878" s="355">
        <f>'MDA FGD'!$F$94</f>
        <v>0</v>
      </c>
      <c r="G878" s="355">
        <f>'MDA FGD'!$G$94</f>
        <v>0</v>
      </c>
      <c r="H878" s="355">
        <f>'MDA FGD'!$H$94</f>
        <v>0</v>
      </c>
      <c r="I878" s="355">
        <f>'MDA FGD'!$I$94</f>
        <v>0</v>
      </c>
      <c r="J878" s="355">
        <f>'MDA FGD'!$J$94</f>
        <v>0</v>
      </c>
      <c r="K878" s="355">
        <f>'MDA FGD'!$K$94</f>
        <v>0</v>
      </c>
      <c r="L878" s="355">
        <f>'MDA FGD'!$L$94</f>
        <v>0</v>
      </c>
      <c r="M878" s="357">
        <f>'MDA FGD'!$M$94</f>
        <v>0</v>
      </c>
    </row>
    <row r="879" spans="1:13" hidden="1" outlineLevel="1">
      <c r="B879" s="392" t="str">
        <f>'RGVM FGD'!$B$2</f>
        <v>The University of Texas Rio Grande Valley Medical School (M)</v>
      </c>
      <c r="C879" s="51"/>
      <c r="D879" s="355">
        <f>'RGVM FGD'!$D$94</f>
        <v>0</v>
      </c>
      <c r="E879" s="355">
        <f>'RGVM FGD'!$E$94</f>
        <v>0</v>
      </c>
      <c r="F879" s="355">
        <f>'RGVM FGD'!$F$94</f>
        <v>0</v>
      </c>
      <c r="G879" s="355">
        <f>'RGVM FGD'!$G$94</f>
        <v>0</v>
      </c>
      <c r="H879" s="355">
        <f>'RGVM FGD'!$H$94</f>
        <v>0</v>
      </c>
      <c r="I879" s="355">
        <f>'RGVM FGD'!$I$94</f>
        <v>0</v>
      </c>
      <c r="J879" s="355">
        <f>'RGVM FGD'!$J$94</f>
        <v>0</v>
      </c>
      <c r="K879" s="355">
        <f>'RGVM FGD'!$K$94</f>
        <v>0</v>
      </c>
      <c r="L879" s="355">
        <f>'RGVM FGD'!$L$94</f>
        <v>0</v>
      </c>
      <c r="M879" s="357">
        <f>'RGVM FGD'!$M$94</f>
        <v>0</v>
      </c>
    </row>
    <row r="880" spans="1:13" hidden="1" outlineLevel="1">
      <c r="B880" s="392" t="str">
        <f>'SWM FGD'!$B$2</f>
        <v>The University of Texas Southwestern Medical Center</v>
      </c>
      <c r="C880" s="51"/>
      <c r="D880" s="355">
        <f>'SWM FGD'!$D$94</f>
        <v>0</v>
      </c>
      <c r="E880" s="355">
        <f>'SWM FGD'!$E$94</f>
        <v>0</v>
      </c>
      <c r="F880" s="355">
        <f>'SWM FGD'!$F$94</f>
        <v>0</v>
      </c>
      <c r="G880" s="355">
        <f>'SWM FGD'!$G$94</f>
        <v>0</v>
      </c>
      <c r="H880" s="355">
        <f>'SWM FGD'!$H$94</f>
        <v>0</v>
      </c>
      <c r="I880" s="355">
        <f>'SWM FGD'!$I$94</f>
        <v>0</v>
      </c>
      <c r="J880" s="355">
        <f>'SWM FGD'!$J$94</f>
        <v>0</v>
      </c>
      <c r="K880" s="355">
        <f>'SWM FGD'!$K$94</f>
        <v>0</v>
      </c>
      <c r="L880" s="355">
        <f>'SWM FGD'!$L$94</f>
        <v>0</v>
      </c>
      <c r="M880" s="357">
        <f>'SWM FGD'!$M$94</f>
        <v>0</v>
      </c>
    </row>
    <row r="881" spans="1:13" hidden="1" outlineLevel="1">
      <c r="B881" s="392" t="str">
        <f>'TAMHSC FGD'!$B$2</f>
        <v>Texas A&amp;M University System Health Science Center</v>
      </c>
      <c r="C881" s="51"/>
      <c r="D881" s="355">
        <f>'TAMHSC FGD'!$D$94</f>
        <v>0</v>
      </c>
      <c r="E881" s="355">
        <f>'TAMHSC FGD'!$E$94</f>
        <v>0</v>
      </c>
      <c r="F881" s="355">
        <f>'TAMHSC FGD'!$F$94</f>
        <v>0</v>
      </c>
      <c r="G881" s="355">
        <f>'TAMHSC FGD'!$G$94</f>
        <v>0</v>
      </c>
      <c r="H881" s="355">
        <f>'TAMHSC FGD'!$H$94</f>
        <v>0</v>
      </c>
      <c r="I881" s="355">
        <f>'TAMHSC FGD'!$I$94</f>
        <v>0</v>
      </c>
      <c r="J881" s="355">
        <f>'TAMHSC FGD'!$J$94</f>
        <v>0</v>
      </c>
      <c r="K881" s="355">
        <f>'TAMHSC FGD'!$K$94</f>
        <v>0</v>
      </c>
      <c r="L881" s="355">
        <f>'TAMHSC FGD'!$L$94</f>
        <v>56155865</v>
      </c>
      <c r="M881" s="357">
        <f>'TAMHSC FGD'!$M$94</f>
        <v>56155865</v>
      </c>
    </row>
    <row r="882" spans="1:13" hidden="1" outlineLevel="1">
      <c r="B882" s="392" t="str">
        <f>'THC FGD'!$B$2</f>
        <v>The University of Texas Health Science Center at Tyler</v>
      </c>
      <c r="C882" s="51"/>
      <c r="D882" s="355">
        <f>'THC FGD'!$D$94</f>
        <v>0</v>
      </c>
      <c r="E882" s="355">
        <f>'THC FGD'!$E$94</f>
        <v>0</v>
      </c>
      <c r="F882" s="355">
        <f>'THC FGD'!$F$94</f>
        <v>0</v>
      </c>
      <c r="G882" s="355">
        <f>'THC FGD'!$G$94</f>
        <v>0</v>
      </c>
      <c r="H882" s="355">
        <f>'THC FGD'!$H$94</f>
        <v>0</v>
      </c>
      <c r="I882" s="355">
        <f>'THC FGD'!$I$94</f>
        <v>0</v>
      </c>
      <c r="J882" s="355">
        <f>'THC FGD'!$J$94</f>
        <v>0</v>
      </c>
      <c r="K882" s="355">
        <f>'THC FGD'!$K$94</f>
        <v>0</v>
      </c>
      <c r="L882" s="355">
        <f>'THC FGD'!$L$94</f>
        <v>0</v>
      </c>
      <c r="M882" s="357">
        <f>'THC FGD'!$M$94</f>
        <v>0</v>
      </c>
    </row>
    <row r="883" spans="1:13" hidden="1" outlineLevel="1">
      <c r="B883" s="392" t="str">
        <f>'TTUHSC FGD'!$B$2</f>
        <v>Texas Tech University Health Sciences Center</v>
      </c>
      <c r="C883" s="51"/>
      <c r="D883" s="355">
        <f>'TTUHSC FGD'!$D$94</f>
        <v>0</v>
      </c>
      <c r="E883" s="355">
        <f>'TTUHSC FGD'!$E$94</f>
        <v>0</v>
      </c>
      <c r="F883" s="355">
        <f>'TTUHSC FGD'!$F$94</f>
        <v>0</v>
      </c>
      <c r="G883" s="355">
        <f>'TTUHSC FGD'!$G$94</f>
        <v>0</v>
      </c>
      <c r="H883" s="355">
        <f>'TTUHSC FGD'!$H$94</f>
        <v>0</v>
      </c>
      <c r="I883" s="355">
        <f>'TTUHSC FGD'!$I$94</f>
        <v>0</v>
      </c>
      <c r="J883" s="355">
        <f>'TTUHSC FGD'!$J$94</f>
        <v>0</v>
      </c>
      <c r="K883" s="355">
        <f>'TTUHSC FGD'!$K$94</f>
        <v>0</v>
      </c>
      <c r="L883" s="355">
        <f>'TTUHSC FGD'!$L$94</f>
        <v>-573387</v>
      </c>
      <c r="M883" s="357">
        <f>'TTUHSC FGD'!$M$94</f>
        <v>-573387</v>
      </c>
    </row>
    <row r="884" spans="1:13" hidden="1" outlineLevel="1">
      <c r="B884" s="392" t="str">
        <f>'TTUHSCEP FGD'!$B$2</f>
        <v>Texas Tech University Health Sciences Center at El Paso</v>
      </c>
      <c r="C884" s="51"/>
      <c r="D884" s="355">
        <f>'TTUHSCEP FGD'!$D$94</f>
        <v>0</v>
      </c>
      <c r="E884" s="355">
        <f>'TTUHSCEP FGD'!$E$94</f>
        <v>0</v>
      </c>
      <c r="F884" s="355">
        <f>'TTUHSCEP FGD'!$F$94</f>
        <v>0</v>
      </c>
      <c r="G884" s="355">
        <f>'TTUHSCEP FGD'!$G$94</f>
        <v>0</v>
      </c>
      <c r="H884" s="355">
        <f>'TTUHSCEP FGD'!$H$94</f>
        <v>0</v>
      </c>
      <c r="I884" s="355">
        <f>'TTUHSCEP FGD'!$I$94</f>
        <v>0</v>
      </c>
      <c r="J884" s="355">
        <f>'TTUHSCEP FGD'!$J$94</f>
        <v>0</v>
      </c>
      <c r="K884" s="355">
        <f>'TTUHSCEP FGD'!$K$94</f>
        <v>-38816</v>
      </c>
      <c r="L884" s="355">
        <f>'TTUHSCEP FGD'!$L$94</f>
        <v>0</v>
      </c>
      <c r="M884" s="357">
        <f>'TTUHSCEP FGD'!$M$94</f>
        <v>-38816</v>
      </c>
    </row>
    <row r="885" spans="1:13" hidden="1" outlineLevel="1">
      <c r="B885" s="392" t="str">
        <f>'UNTHSC FGD'!$B$2</f>
        <v>University of North Texas Health Science Center at Fort Worth</v>
      </c>
      <c r="C885" s="51"/>
      <c r="D885" s="355">
        <f>'UNTHSC FGD'!$D$94</f>
        <v>0</v>
      </c>
      <c r="E885" s="355">
        <f>'UNTHSC FGD'!$E$94</f>
        <v>0</v>
      </c>
      <c r="F885" s="355">
        <f>'UNTHSC FGD'!$F$94</f>
        <v>0</v>
      </c>
      <c r="G885" s="355">
        <f>'UNTHSC FGD'!$G$94</f>
        <v>0</v>
      </c>
      <c r="H885" s="355">
        <f>'UNTHSC FGD'!$H$94</f>
        <v>0</v>
      </c>
      <c r="I885" s="355">
        <f>'UNTHSC FGD'!$I$94</f>
        <v>0</v>
      </c>
      <c r="J885" s="355">
        <f>'UNTHSC FGD'!$J$94</f>
        <v>0</v>
      </c>
      <c r="K885" s="355">
        <f>'UNTHSC FGD'!$K$94</f>
        <v>0</v>
      </c>
      <c r="L885" s="355">
        <f>'UNTHSC FGD'!$L$94</f>
        <v>-759202</v>
      </c>
      <c r="M885" s="357">
        <f>'UNTHSC FGD'!$M$94</f>
        <v>-759202</v>
      </c>
    </row>
    <row r="886" spans="1:13" collapsed="1">
      <c r="A886" s="147">
        <v>78</v>
      </c>
      <c r="B886" s="51" t="s">
        <v>94</v>
      </c>
      <c r="C886" s="51"/>
      <c r="D886" s="355">
        <f t="shared" ref="D886:M886" si="65">SUM(D874:D885)</f>
        <v>0</v>
      </c>
      <c r="E886" s="355">
        <f t="shared" si="65"/>
        <v>0</v>
      </c>
      <c r="F886" s="355">
        <f t="shared" si="65"/>
        <v>0</v>
      </c>
      <c r="G886" s="355">
        <f t="shared" si="65"/>
        <v>0</v>
      </c>
      <c r="H886" s="355">
        <f t="shared" si="65"/>
        <v>0</v>
      </c>
      <c r="I886" s="355">
        <f t="shared" si="65"/>
        <v>0</v>
      </c>
      <c r="J886" s="355">
        <f t="shared" si="65"/>
        <v>0</v>
      </c>
      <c r="K886" s="355">
        <f t="shared" si="65"/>
        <v>-38816</v>
      </c>
      <c r="L886" s="355">
        <f t="shared" si="65"/>
        <v>54823276</v>
      </c>
      <c r="M886" s="357">
        <f t="shared" si="65"/>
        <v>54784460</v>
      </c>
    </row>
    <row r="887" spans="1:13" hidden="1" outlineLevel="1">
      <c r="B887" s="392" t="str">
        <f>'AUSM FGD'!$B$2</f>
        <v>The University of Texas at Austin Medical School (M)</v>
      </c>
      <c r="C887" s="51"/>
      <c r="D887" s="355">
        <f>'AUSM FGD'!$D$95</f>
        <v>0</v>
      </c>
      <c r="E887" s="355">
        <f>'AUSM FGD'!$E$95</f>
        <v>0</v>
      </c>
      <c r="F887" s="355">
        <f>'AUSM FGD'!$F$95</f>
        <v>0</v>
      </c>
      <c r="G887" s="355">
        <f>'AUSM FGD'!$G$95</f>
        <v>0</v>
      </c>
      <c r="H887" s="355">
        <f>'AUSM FGD'!$H$95</f>
        <v>0</v>
      </c>
      <c r="I887" s="355">
        <f>'AUSM FGD'!$I$95</f>
        <v>0</v>
      </c>
      <c r="J887" s="355">
        <f>'AUSM FGD'!$J$95</f>
        <v>0</v>
      </c>
      <c r="K887" s="355">
        <f>'AUSM FGD'!$K$95</f>
        <v>0</v>
      </c>
      <c r="L887" s="355">
        <f>'AUSM FGD'!$L$95</f>
        <v>0</v>
      </c>
      <c r="M887" s="357">
        <f>'AUSM FGD'!$M$95</f>
        <v>0</v>
      </c>
    </row>
    <row r="888" spans="1:13" hidden="1" outlineLevel="1">
      <c r="B888" s="392" t="str">
        <f>'HSH FGD'!$B$2</f>
        <v>The University of Texas Health Science Center at Houston</v>
      </c>
      <c r="C888" s="51"/>
      <c r="D888" s="355">
        <f>'HSH FGD'!$D$95</f>
        <v>0</v>
      </c>
      <c r="E888" s="355">
        <f>'HSH FGD'!$E$95</f>
        <v>0</v>
      </c>
      <c r="F888" s="355">
        <f>'HSH FGD'!$F$95</f>
        <v>0</v>
      </c>
      <c r="G888" s="355">
        <f>'HSH FGD'!$G$95</f>
        <v>0</v>
      </c>
      <c r="H888" s="355">
        <f>'HSH FGD'!$H$95</f>
        <v>0</v>
      </c>
      <c r="I888" s="355">
        <f>'HSH FGD'!$I$95</f>
        <v>0</v>
      </c>
      <c r="J888" s="355">
        <f>'HSH FGD'!$J$95</f>
        <v>0</v>
      </c>
      <c r="K888" s="355">
        <f>'HSH FGD'!$K$95</f>
        <v>0</v>
      </c>
      <c r="L888" s="355">
        <f>'HSH FGD'!$L$95</f>
        <v>0</v>
      </c>
      <c r="M888" s="357">
        <f>'HSH FGD'!$M$95</f>
        <v>0</v>
      </c>
    </row>
    <row r="889" spans="1:13" hidden="1" outlineLevel="1">
      <c r="B889" s="392" t="str">
        <f>'HSSA FGD'!$B$2</f>
        <v>The University of Texas Health Science Center at San Antonio</v>
      </c>
      <c r="C889" s="51"/>
      <c r="D889" s="355">
        <f>'HSSA FGD'!$D$95</f>
        <v>0</v>
      </c>
      <c r="E889" s="355">
        <f>'HSSA FGD'!$E$95</f>
        <v>0</v>
      </c>
      <c r="F889" s="355">
        <f>'HSSA FGD'!$F$95</f>
        <v>0</v>
      </c>
      <c r="G889" s="355">
        <f>'HSSA FGD'!$G$95</f>
        <v>0</v>
      </c>
      <c r="H889" s="355">
        <f>'HSSA FGD'!$H$95</f>
        <v>0</v>
      </c>
      <c r="I889" s="355">
        <f>'HSSA FGD'!$I$95</f>
        <v>0</v>
      </c>
      <c r="J889" s="355">
        <f>'HSSA FGD'!$J$95</f>
        <v>0</v>
      </c>
      <c r="K889" s="355">
        <f>'HSSA FGD'!$K$95</f>
        <v>0</v>
      </c>
      <c r="L889" s="355">
        <f>'HSSA FGD'!$L$95</f>
        <v>0</v>
      </c>
      <c r="M889" s="357">
        <f>'HSSA FGD'!$M$95</f>
        <v>0</v>
      </c>
    </row>
    <row r="890" spans="1:13" hidden="1" outlineLevel="1">
      <c r="B890" s="392" t="str">
        <f>'MBG FGD'!$B$2</f>
        <v>The University of Texas Medical Branch at Galveston</v>
      </c>
      <c r="C890" s="51"/>
      <c r="D890" s="355">
        <f>'MBG FGD'!$D$95</f>
        <v>0</v>
      </c>
      <c r="E890" s="355">
        <f>'MBG FGD'!$E$95</f>
        <v>0</v>
      </c>
      <c r="F890" s="355">
        <f>'MBG FGD'!$F$95</f>
        <v>0</v>
      </c>
      <c r="G890" s="355">
        <f>'MBG FGD'!$G$95</f>
        <v>0</v>
      </c>
      <c r="H890" s="355">
        <f>'MBG FGD'!$H$95</f>
        <v>0</v>
      </c>
      <c r="I890" s="355">
        <f>'MBG FGD'!$I$95</f>
        <v>0</v>
      </c>
      <c r="J890" s="355">
        <f>'MBG FGD'!$J$95</f>
        <v>0</v>
      </c>
      <c r="K890" s="355">
        <f>'MBG FGD'!$K$95</f>
        <v>0</v>
      </c>
      <c r="L890" s="355">
        <f>'MBG FGD'!$L$95</f>
        <v>0</v>
      </c>
      <c r="M890" s="357">
        <f>'MBG FGD'!$M$95</f>
        <v>0</v>
      </c>
    </row>
    <row r="891" spans="1:13" hidden="1" outlineLevel="1">
      <c r="B891" s="392" t="str">
        <f>'MDA FGD'!$B$2</f>
        <v>The University of Texas M.D. Anderson Cancer Center</v>
      </c>
      <c r="C891" s="51"/>
      <c r="D891" s="355">
        <f>'MDA FGD'!$D$95</f>
        <v>0</v>
      </c>
      <c r="E891" s="355">
        <f>'MDA FGD'!$E$95</f>
        <v>0</v>
      </c>
      <c r="F891" s="355">
        <f>'MDA FGD'!$F$95</f>
        <v>0</v>
      </c>
      <c r="G891" s="355">
        <f>'MDA FGD'!$G$95</f>
        <v>0</v>
      </c>
      <c r="H891" s="355">
        <f>'MDA FGD'!$H$95</f>
        <v>0</v>
      </c>
      <c r="I891" s="355">
        <f>'MDA FGD'!$I$95</f>
        <v>0</v>
      </c>
      <c r="J891" s="355">
        <f>'MDA FGD'!$J$95</f>
        <v>0</v>
      </c>
      <c r="K891" s="355">
        <f>'MDA FGD'!$K$95</f>
        <v>0</v>
      </c>
      <c r="L891" s="355">
        <f>'MDA FGD'!$L$95</f>
        <v>0</v>
      </c>
      <c r="M891" s="357">
        <f>'MDA FGD'!$M$95</f>
        <v>0</v>
      </c>
    </row>
    <row r="892" spans="1:13" hidden="1" outlineLevel="1">
      <c r="B892" s="392" t="str">
        <f>'RGVM FGD'!$B$2</f>
        <v>The University of Texas Rio Grande Valley Medical School (M)</v>
      </c>
      <c r="C892" s="51"/>
      <c r="D892" s="355">
        <f>'RGVM FGD'!$D$95</f>
        <v>0</v>
      </c>
      <c r="E892" s="355">
        <f>'RGVM FGD'!$E$95</f>
        <v>0</v>
      </c>
      <c r="F892" s="355">
        <f>'RGVM FGD'!$F$95</f>
        <v>0</v>
      </c>
      <c r="G892" s="355">
        <f>'RGVM FGD'!$G$95</f>
        <v>0</v>
      </c>
      <c r="H892" s="355">
        <f>'RGVM FGD'!$H$95</f>
        <v>0</v>
      </c>
      <c r="I892" s="355">
        <f>'RGVM FGD'!$I$95</f>
        <v>0</v>
      </c>
      <c r="J892" s="355">
        <f>'RGVM FGD'!$J$95</f>
        <v>0</v>
      </c>
      <c r="K892" s="355">
        <f>'RGVM FGD'!$K$95</f>
        <v>0</v>
      </c>
      <c r="L892" s="355">
        <f>'RGVM FGD'!$L$95</f>
        <v>0</v>
      </c>
      <c r="M892" s="357">
        <f>'RGVM FGD'!$M$95</f>
        <v>0</v>
      </c>
    </row>
    <row r="893" spans="1:13" hidden="1" outlineLevel="1">
      <c r="B893" s="392" t="str">
        <f>'SWM FGD'!$B$2</f>
        <v>The University of Texas Southwestern Medical Center</v>
      </c>
      <c r="C893" s="51"/>
      <c r="D893" s="355">
        <f>'SWM FGD'!$D$95</f>
        <v>0</v>
      </c>
      <c r="E893" s="355">
        <f>'SWM FGD'!$E$95</f>
        <v>0</v>
      </c>
      <c r="F893" s="355">
        <f>'SWM FGD'!$F$95</f>
        <v>0</v>
      </c>
      <c r="G893" s="355">
        <f>'SWM FGD'!$G$95</f>
        <v>0</v>
      </c>
      <c r="H893" s="355">
        <f>'SWM FGD'!$H$95</f>
        <v>0</v>
      </c>
      <c r="I893" s="355">
        <f>'SWM FGD'!$I$95</f>
        <v>0</v>
      </c>
      <c r="J893" s="355">
        <f>'SWM FGD'!$J$95</f>
        <v>0</v>
      </c>
      <c r="K893" s="355">
        <f>'SWM FGD'!$K$95</f>
        <v>0</v>
      </c>
      <c r="L893" s="355">
        <f>'SWM FGD'!$L$95</f>
        <v>0</v>
      </c>
      <c r="M893" s="357">
        <f>'SWM FGD'!$M$95</f>
        <v>0</v>
      </c>
    </row>
    <row r="894" spans="1:13" hidden="1" outlineLevel="1">
      <c r="B894" s="392" t="str">
        <f>'TAMHSC FGD'!$B$2</f>
        <v>Texas A&amp;M University System Health Science Center</v>
      </c>
      <c r="C894" s="51"/>
      <c r="D894" s="355">
        <f>'TAMHSC FGD'!$D$95</f>
        <v>0</v>
      </c>
      <c r="E894" s="355">
        <f>'TAMHSC FGD'!$E$95</f>
        <v>0</v>
      </c>
      <c r="F894" s="355">
        <f>'TAMHSC FGD'!$F$95</f>
        <v>0</v>
      </c>
      <c r="G894" s="355">
        <f>'TAMHSC FGD'!$G$95</f>
        <v>0</v>
      </c>
      <c r="H894" s="355">
        <f>'TAMHSC FGD'!$H$95</f>
        <v>0</v>
      </c>
      <c r="I894" s="355">
        <f>'TAMHSC FGD'!$I$95</f>
        <v>0</v>
      </c>
      <c r="J894" s="355">
        <f>'TAMHSC FGD'!$J$95</f>
        <v>0</v>
      </c>
      <c r="K894" s="355">
        <f>'TAMHSC FGD'!$K$95</f>
        <v>0</v>
      </c>
      <c r="L894" s="355">
        <f>'TAMHSC FGD'!$L$95</f>
        <v>0</v>
      </c>
      <c r="M894" s="357">
        <f>'TAMHSC FGD'!$M$95</f>
        <v>0</v>
      </c>
    </row>
    <row r="895" spans="1:13" hidden="1" outlineLevel="1">
      <c r="B895" s="392" t="str">
        <f>'THC FGD'!$B$2</f>
        <v>The University of Texas Health Science Center at Tyler</v>
      </c>
      <c r="C895" s="51"/>
      <c r="D895" s="355">
        <f>'THC FGD'!$D$95</f>
        <v>0</v>
      </c>
      <c r="E895" s="355">
        <f>'THC FGD'!$E$95</f>
        <v>0</v>
      </c>
      <c r="F895" s="355">
        <f>'THC FGD'!$F$95</f>
        <v>0</v>
      </c>
      <c r="G895" s="355">
        <f>'THC FGD'!$G$95</f>
        <v>0</v>
      </c>
      <c r="H895" s="355">
        <f>'THC FGD'!$H$95</f>
        <v>0</v>
      </c>
      <c r="I895" s="355">
        <f>'THC FGD'!$I$95</f>
        <v>0</v>
      </c>
      <c r="J895" s="355">
        <f>'THC FGD'!$J$95</f>
        <v>0</v>
      </c>
      <c r="K895" s="355">
        <f>'THC FGD'!$K$95</f>
        <v>0</v>
      </c>
      <c r="L895" s="355">
        <f>'THC FGD'!$L$95</f>
        <v>0</v>
      </c>
      <c r="M895" s="357">
        <f>'THC FGD'!$M$95</f>
        <v>0</v>
      </c>
    </row>
    <row r="896" spans="1:13" hidden="1" outlineLevel="1">
      <c r="B896" s="392" t="str">
        <f>'TTUHSC FGD'!$B$2</f>
        <v>Texas Tech University Health Sciences Center</v>
      </c>
      <c r="C896" s="51"/>
      <c r="D896" s="355">
        <f>'TTUHSC FGD'!$D$95</f>
        <v>0</v>
      </c>
      <c r="E896" s="355">
        <f>'TTUHSC FGD'!$E$95</f>
        <v>0</v>
      </c>
      <c r="F896" s="355">
        <f>'TTUHSC FGD'!$F$95</f>
        <v>0</v>
      </c>
      <c r="G896" s="355">
        <f>'TTUHSC FGD'!$G$95</f>
        <v>0</v>
      </c>
      <c r="H896" s="355">
        <f>'TTUHSC FGD'!$H$95</f>
        <v>0</v>
      </c>
      <c r="I896" s="355">
        <f>'TTUHSC FGD'!$I$95</f>
        <v>0</v>
      </c>
      <c r="J896" s="355">
        <f>'TTUHSC FGD'!$J$95</f>
        <v>0</v>
      </c>
      <c r="K896" s="355">
        <f>'TTUHSC FGD'!$K$95</f>
        <v>0</v>
      </c>
      <c r="L896" s="355">
        <f>'TTUHSC FGD'!$L$95</f>
        <v>0</v>
      </c>
      <c r="M896" s="357">
        <f>'TTUHSC FGD'!$M$95</f>
        <v>0</v>
      </c>
    </row>
    <row r="897" spans="2:13" hidden="1" outlineLevel="1">
      <c r="B897" s="392" t="str">
        <f>'TTUHSCEP FGD'!$B$2</f>
        <v>Texas Tech University Health Sciences Center at El Paso</v>
      </c>
      <c r="C897" s="51"/>
      <c r="D897" s="355">
        <f>'TTUHSCEP FGD'!$D$95</f>
        <v>0</v>
      </c>
      <c r="E897" s="355">
        <f>'TTUHSCEP FGD'!$E$95</f>
        <v>0</v>
      </c>
      <c r="F897" s="355">
        <f>'TTUHSCEP FGD'!$F$95</f>
        <v>0</v>
      </c>
      <c r="G897" s="355">
        <f>'TTUHSCEP FGD'!$G$95</f>
        <v>0</v>
      </c>
      <c r="H897" s="355">
        <f>'TTUHSCEP FGD'!$H$95</f>
        <v>0</v>
      </c>
      <c r="I897" s="355">
        <f>'TTUHSCEP FGD'!$I$95</f>
        <v>0</v>
      </c>
      <c r="J897" s="355">
        <f>'TTUHSCEP FGD'!$J$95</f>
        <v>0</v>
      </c>
      <c r="K897" s="355">
        <f>'TTUHSCEP FGD'!$K$95</f>
        <v>0</v>
      </c>
      <c r="L897" s="355">
        <f>'TTUHSCEP FGD'!$L$95</f>
        <v>0</v>
      </c>
      <c r="M897" s="357">
        <f>'TTUHSCEP FGD'!$M$95</f>
        <v>0</v>
      </c>
    </row>
    <row r="898" spans="2:13" hidden="1" outlineLevel="1">
      <c r="B898" s="392" t="str">
        <f>'UNTHSC FGD'!$B$2</f>
        <v>University of North Texas Health Science Center at Fort Worth</v>
      </c>
      <c r="C898" s="51"/>
      <c r="D898" s="355">
        <f>'UNTHSC FGD'!$D$95</f>
        <v>0</v>
      </c>
      <c r="E898" s="355">
        <f>'UNTHSC FGD'!$E$95</f>
        <v>0</v>
      </c>
      <c r="F898" s="355">
        <f>'UNTHSC FGD'!$F$95</f>
        <v>0</v>
      </c>
      <c r="G898" s="355">
        <f>'UNTHSC FGD'!$G$95</f>
        <v>0</v>
      </c>
      <c r="H898" s="355">
        <f>'UNTHSC FGD'!$H$95</f>
        <v>0</v>
      </c>
      <c r="I898" s="355">
        <f>'UNTHSC FGD'!$I$95</f>
        <v>0</v>
      </c>
      <c r="J898" s="355">
        <f>'UNTHSC FGD'!$J$95</f>
        <v>0</v>
      </c>
      <c r="K898" s="355">
        <f>'UNTHSC FGD'!$K$95</f>
        <v>0</v>
      </c>
      <c r="L898" s="355">
        <f>'UNTHSC FGD'!$L$95</f>
        <v>0</v>
      </c>
      <c r="M898" s="357">
        <f>'UNTHSC FGD'!$M$95</f>
        <v>0</v>
      </c>
    </row>
    <row r="899" spans="2:13" collapsed="1">
      <c r="B899" s="51" t="s">
        <v>103</v>
      </c>
      <c r="C899" s="51"/>
      <c r="D899" s="355">
        <f t="shared" ref="D899:M899" si="66">SUM(D887:D898)</f>
        <v>0</v>
      </c>
      <c r="E899" s="355">
        <f t="shared" si="66"/>
        <v>0</v>
      </c>
      <c r="F899" s="355">
        <f t="shared" si="66"/>
        <v>0</v>
      </c>
      <c r="G899" s="355">
        <f t="shared" si="66"/>
        <v>0</v>
      </c>
      <c r="H899" s="355">
        <f t="shared" si="66"/>
        <v>0</v>
      </c>
      <c r="I899" s="355">
        <f t="shared" si="66"/>
        <v>0</v>
      </c>
      <c r="J899" s="355">
        <f t="shared" si="66"/>
        <v>0</v>
      </c>
      <c r="K899" s="355">
        <f t="shared" si="66"/>
        <v>0</v>
      </c>
      <c r="L899" s="355">
        <f t="shared" si="66"/>
        <v>0</v>
      </c>
      <c r="M899" s="357">
        <f t="shared" si="66"/>
        <v>0</v>
      </c>
    </row>
    <row r="900" spans="2:13" hidden="1" outlineLevel="1">
      <c r="B900" s="392" t="str">
        <f>'AUSM FGD'!$B$2</f>
        <v>The University of Texas at Austin Medical School (M)</v>
      </c>
      <c r="C900" s="51"/>
      <c r="D900" s="355">
        <f>'AUSM FGD'!$D$96</f>
        <v>0</v>
      </c>
      <c r="E900" s="355">
        <f>'AUSM FGD'!$E$96</f>
        <v>0</v>
      </c>
      <c r="F900" s="355">
        <f>'AUSM FGD'!$F$96</f>
        <v>0</v>
      </c>
      <c r="G900" s="355">
        <f>'AUSM FGD'!$G$96</f>
        <v>0</v>
      </c>
      <c r="H900" s="355">
        <f>'AUSM FGD'!$H$96</f>
        <v>0</v>
      </c>
      <c r="I900" s="355">
        <f>'AUSM FGD'!$I$96</f>
        <v>0</v>
      </c>
      <c r="J900" s="355">
        <f>'AUSM FGD'!$J$96</f>
        <v>0</v>
      </c>
      <c r="K900" s="355">
        <f>'AUSM FGD'!$K$96</f>
        <v>0</v>
      </c>
      <c r="L900" s="355">
        <f>'AUSM FGD'!$L$96</f>
        <v>0</v>
      </c>
      <c r="M900" s="357">
        <f>'AUSM FGD'!$M$96</f>
        <v>0</v>
      </c>
    </row>
    <row r="901" spans="2:13" hidden="1" outlineLevel="1">
      <c r="B901" s="392" t="str">
        <f>'HSH FGD'!$B$2</f>
        <v>The University of Texas Health Science Center at Houston</v>
      </c>
      <c r="C901" s="51"/>
      <c r="D901" s="355">
        <f>'HSH FGD'!$D$96</f>
        <v>0</v>
      </c>
      <c r="E901" s="355">
        <f>'HSH FGD'!$E$96</f>
        <v>0</v>
      </c>
      <c r="F901" s="355">
        <f>'HSH FGD'!$F$96</f>
        <v>0</v>
      </c>
      <c r="G901" s="355">
        <f>'HSH FGD'!$G$96</f>
        <v>0</v>
      </c>
      <c r="H901" s="355">
        <f>'HSH FGD'!$H$96</f>
        <v>0</v>
      </c>
      <c r="I901" s="355">
        <f>'HSH FGD'!$I$96</f>
        <v>0</v>
      </c>
      <c r="J901" s="355">
        <f>'HSH FGD'!$J$96</f>
        <v>0</v>
      </c>
      <c r="K901" s="355">
        <f>'HSH FGD'!$K$96</f>
        <v>0</v>
      </c>
      <c r="L901" s="355">
        <f>'HSH FGD'!$L$96</f>
        <v>0</v>
      </c>
      <c r="M901" s="357">
        <f>'HSH FGD'!$M$96</f>
        <v>0</v>
      </c>
    </row>
    <row r="902" spans="2:13" hidden="1" outlineLevel="1">
      <c r="B902" s="392" t="str">
        <f>'HSSA FGD'!$B$2</f>
        <v>The University of Texas Health Science Center at San Antonio</v>
      </c>
      <c r="C902" s="51"/>
      <c r="D902" s="355">
        <f>'HSSA FGD'!$D$96</f>
        <v>0</v>
      </c>
      <c r="E902" s="355">
        <f>'HSSA FGD'!$E$96</f>
        <v>0</v>
      </c>
      <c r="F902" s="355">
        <f>'HSSA FGD'!$F$96</f>
        <v>0</v>
      </c>
      <c r="G902" s="355">
        <f>'HSSA FGD'!$G$96</f>
        <v>0</v>
      </c>
      <c r="H902" s="355">
        <f>'HSSA FGD'!$H$96</f>
        <v>0</v>
      </c>
      <c r="I902" s="355">
        <f>'HSSA FGD'!$I$96</f>
        <v>0</v>
      </c>
      <c r="J902" s="355">
        <f>'HSSA FGD'!$J$96</f>
        <v>0</v>
      </c>
      <c r="K902" s="355">
        <f>'HSSA FGD'!$K$96</f>
        <v>0</v>
      </c>
      <c r="L902" s="355">
        <f>'HSSA FGD'!$L$96</f>
        <v>164518</v>
      </c>
      <c r="M902" s="357">
        <f>'HSSA FGD'!$M$96</f>
        <v>164518</v>
      </c>
    </row>
    <row r="903" spans="2:13" hidden="1" outlineLevel="1">
      <c r="B903" s="392" t="str">
        <f>'MBG FGD'!$B$2</f>
        <v>The University of Texas Medical Branch at Galveston</v>
      </c>
      <c r="C903" s="51"/>
      <c r="D903" s="355">
        <f>'MBG FGD'!$D$96</f>
        <v>0</v>
      </c>
      <c r="E903" s="355">
        <f>'MBG FGD'!$E$96</f>
        <v>0</v>
      </c>
      <c r="F903" s="355">
        <f>'MBG FGD'!$F$96</f>
        <v>0</v>
      </c>
      <c r="G903" s="355">
        <f>'MBG FGD'!$G$96</f>
        <v>0</v>
      </c>
      <c r="H903" s="355">
        <f>'MBG FGD'!$H$96</f>
        <v>0</v>
      </c>
      <c r="I903" s="355">
        <f>'MBG FGD'!$I$96</f>
        <v>0</v>
      </c>
      <c r="J903" s="355">
        <f>'MBG FGD'!$J$96</f>
        <v>0</v>
      </c>
      <c r="K903" s="355">
        <f>'MBG FGD'!$K$96</f>
        <v>0</v>
      </c>
      <c r="L903" s="355">
        <f>'MBG FGD'!$L$96</f>
        <v>0</v>
      </c>
      <c r="M903" s="357">
        <f>'MBG FGD'!$M$96</f>
        <v>0</v>
      </c>
    </row>
    <row r="904" spans="2:13" hidden="1" outlineLevel="1">
      <c r="B904" s="392" t="str">
        <f>'MDA FGD'!$B$2</f>
        <v>The University of Texas M.D. Anderson Cancer Center</v>
      </c>
      <c r="C904" s="51"/>
      <c r="D904" s="355">
        <f>'MDA FGD'!$D$96</f>
        <v>0</v>
      </c>
      <c r="E904" s="355">
        <f>'MDA FGD'!$E$96</f>
        <v>0</v>
      </c>
      <c r="F904" s="355">
        <f>'MDA FGD'!$F$96</f>
        <v>0</v>
      </c>
      <c r="G904" s="355">
        <f>'MDA FGD'!$G$96</f>
        <v>0</v>
      </c>
      <c r="H904" s="355">
        <f>'MDA FGD'!$H$96</f>
        <v>0</v>
      </c>
      <c r="I904" s="355">
        <f>'MDA FGD'!$I$96</f>
        <v>0</v>
      </c>
      <c r="J904" s="355">
        <f>'MDA FGD'!$J$96</f>
        <v>0</v>
      </c>
      <c r="K904" s="355">
        <f>'MDA FGD'!$K$96</f>
        <v>0</v>
      </c>
      <c r="L904" s="355">
        <f>'MDA FGD'!$L$96</f>
        <v>0</v>
      </c>
      <c r="M904" s="357">
        <f>'MDA FGD'!$M$96</f>
        <v>0</v>
      </c>
    </row>
    <row r="905" spans="2:13" hidden="1" outlineLevel="1">
      <c r="B905" s="392" t="str">
        <f>'RGVM FGD'!$B$2</f>
        <v>The University of Texas Rio Grande Valley Medical School (M)</v>
      </c>
      <c r="C905" s="51"/>
      <c r="D905" s="355">
        <f>'RGVM FGD'!$D$96</f>
        <v>0</v>
      </c>
      <c r="E905" s="355">
        <f>'RGVM FGD'!$E$96</f>
        <v>0</v>
      </c>
      <c r="F905" s="355">
        <f>'RGVM FGD'!$F$96</f>
        <v>0</v>
      </c>
      <c r="G905" s="355">
        <f>'RGVM FGD'!$G$96</f>
        <v>0</v>
      </c>
      <c r="H905" s="355">
        <f>'RGVM FGD'!$H$96</f>
        <v>0</v>
      </c>
      <c r="I905" s="355">
        <f>'RGVM FGD'!$I$96</f>
        <v>0</v>
      </c>
      <c r="J905" s="355">
        <f>'RGVM FGD'!$J$96</f>
        <v>0</v>
      </c>
      <c r="K905" s="355">
        <f>'RGVM FGD'!$K$96</f>
        <v>0</v>
      </c>
      <c r="L905" s="355">
        <f>'RGVM FGD'!$L$96</f>
        <v>0</v>
      </c>
      <c r="M905" s="357">
        <f>'RGVM FGD'!$M$96</f>
        <v>0</v>
      </c>
    </row>
    <row r="906" spans="2:13" hidden="1" outlineLevel="1">
      <c r="B906" s="392" t="str">
        <f>'SWM FGD'!$B$2</f>
        <v>The University of Texas Southwestern Medical Center</v>
      </c>
      <c r="C906" s="51"/>
      <c r="D906" s="355">
        <f>'SWM FGD'!$D$96</f>
        <v>0</v>
      </c>
      <c r="E906" s="355">
        <f>'SWM FGD'!$E$96</f>
        <v>0</v>
      </c>
      <c r="F906" s="355">
        <f>'SWM FGD'!$F$96</f>
        <v>0</v>
      </c>
      <c r="G906" s="355">
        <f>'SWM FGD'!$G$96</f>
        <v>0</v>
      </c>
      <c r="H906" s="355">
        <f>'SWM FGD'!$H$96</f>
        <v>0</v>
      </c>
      <c r="I906" s="355">
        <f>'SWM FGD'!$I$96</f>
        <v>0</v>
      </c>
      <c r="J906" s="355">
        <f>'SWM FGD'!$J$96</f>
        <v>0</v>
      </c>
      <c r="K906" s="355">
        <f>'SWM FGD'!$K$96</f>
        <v>0</v>
      </c>
      <c r="L906" s="355">
        <f>'SWM FGD'!$L$96</f>
        <v>28200</v>
      </c>
      <c r="M906" s="357">
        <f>'SWM FGD'!$M$96</f>
        <v>28200</v>
      </c>
    </row>
    <row r="907" spans="2:13" hidden="1" outlineLevel="1">
      <c r="B907" s="392" t="str">
        <f>'TAMHSC FGD'!$B$2</f>
        <v>Texas A&amp;M University System Health Science Center</v>
      </c>
      <c r="C907" s="51"/>
      <c r="D907" s="355">
        <f>'TAMHSC FGD'!$D$96</f>
        <v>0</v>
      </c>
      <c r="E907" s="355">
        <f>'TAMHSC FGD'!$E$96</f>
        <v>0</v>
      </c>
      <c r="F907" s="355">
        <f>'TAMHSC FGD'!$F$96</f>
        <v>0</v>
      </c>
      <c r="G907" s="355">
        <f>'TAMHSC FGD'!$G$96</f>
        <v>0</v>
      </c>
      <c r="H907" s="355">
        <f>'TAMHSC FGD'!$H$96</f>
        <v>0</v>
      </c>
      <c r="I907" s="355">
        <f>'TAMHSC FGD'!$I$96</f>
        <v>0</v>
      </c>
      <c r="J907" s="355">
        <f>'TAMHSC FGD'!$J$96</f>
        <v>0</v>
      </c>
      <c r="K907" s="355">
        <f>'TAMHSC FGD'!$K$96</f>
        <v>0</v>
      </c>
      <c r="L907" s="355">
        <f>'TAMHSC FGD'!$L$96</f>
        <v>0</v>
      </c>
      <c r="M907" s="357">
        <f>'TAMHSC FGD'!$M$96</f>
        <v>0</v>
      </c>
    </row>
    <row r="908" spans="2:13" hidden="1" outlineLevel="1">
      <c r="B908" s="392" t="str">
        <f>'THC FGD'!$B$2</f>
        <v>The University of Texas Health Science Center at Tyler</v>
      </c>
      <c r="C908" s="51"/>
      <c r="D908" s="355">
        <f>'THC FGD'!$D$96</f>
        <v>0</v>
      </c>
      <c r="E908" s="355">
        <f>'THC FGD'!$E$96</f>
        <v>0</v>
      </c>
      <c r="F908" s="355">
        <f>'THC FGD'!$F$96</f>
        <v>0</v>
      </c>
      <c r="G908" s="355">
        <f>'THC FGD'!$G$96</f>
        <v>0</v>
      </c>
      <c r="H908" s="355">
        <f>'THC FGD'!$H$96</f>
        <v>0</v>
      </c>
      <c r="I908" s="355">
        <f>'THC FGD'!$I$96</f>
        <v>0</v>
      </c>
      <c r="J908" s="355">
        <f>'THC FGD'!$J$96</f>
        <v>0</v>
      </c>
      <c r="K908" s="355">
        <f>'THC FGD'!$K$96</f>
        <v>0</v>
      </c>
      <c r="L908" s="355">
        <f>'THC FGD'!$L$96</f>
        <v>31</v>
      </c>
      <c r="M908" s="357">
        <f>'THC FGD'!$M$96</f>
        <v>31</v>
      </c>
    </row>
    <row r="909" spans="2:13" hidden="1" outlineLevel="1">
      <c r="B909" s="392" t="str">
        <f>'TTUHSC FGD'!$B$2</f>
        <v>Texas Tech University Health Sciences Center</v>
      </c>
      <c r="C909" s="51"/>
      <c r="D909" s="355">
        <f>'TTUHSC FGD'!$D$96</f>
        <v>0</v>
      </c>
      <c r="E909" s="355">
        <f>'TTUHSC FGD'!$E$96</f>
        <v>0</v>
      </c>
      <c r="F909" s="355">
        <f>'TTUHSC FGD'!$F$96</f>
        <v>0</v>
      </c>
      <c r="G909" s="355">
        <f>'TTUHSC FGD'!$G$96</f>
        <v>0</v>
      </c>
      <c r="H909" s="355">
        <f>'TTUHSC FGD'!$H$96</f>
        <v>0</v>
      </c>
      <c r="I909" s="355">
        <f>'TTUHSC FGD'!$I$96</f>
        <v>0</v>
      </c>
      <c r="J909" s="355">
        <f>'TTUHSC FGD'!$J$96</f>
        <v>0</v>
      </c>
      <c r="K909" s="355">
        <f>'TTUHSC FGD'!$K$96</f>
        <v>0</v>
      </c>
      <c r="L909" s="355">
        <f>'TTUHSC FGD'!$L$96</f>
        <v>12723771</v>
      </c>
      <c r="M909" s="357">
        <f>'TTUHSC FGD'!$M$96</f>
        <v>12723771</v>
      </c>
    </row>
    <row r="910" spans="2:13" hidden="1" outlineLevel="1">
      <c r="B910" s="392" t="str">
        <f>'TTUHSCEP FGD'!$B$2</f>
        <v>Texas Tech University Health Sciences Center at El Paso</v>
      </c>
      <c r="C910" s="51"/>
      <c r="D910" s="355">
        <f>'TTUHSCEP FGD'!$D$96</f>
        <v>0</v>
      </c>
      <c r="E910" s="355">
        <f>'TTUHSCEP FGD'!$E$96</f>
        <v>0</v>
      </c>
      <c r="F910" s="355">
        <f>'TTUHSCEP FGD'!$F$96</f>
        <v>0</v>
      </c>
      <c r="G910" s="355">
        <f>'TTUHSCEP FGD'!$G$96</f>
        <v>0</v>
      </c>
      <c r="H910" s="355">
        <f>'TTUHSCEP FGD'!$H$96</f>
        <v>0</v>
      </c>
      <c r="I910" s="355">
        <f>'TTUHSCEP FGD'!$I$96</f>
        <v>0</v>
      </c>
      <c r="J910" s="355">
        <f>'TTUHSCEP FGD'!$J$96</f>
        <v>0</v>
      </c>
      <c r="K910" s="355">
        <f>'TTUHSCEP FGD'!$K$96</f>
        <v>0</v>
      </c>
      <c r="L910" s="355">
        <f>'TTUHSCEP FGD'!$L$96</f>
        <v>39388</v>
      </c>
      <c r="M910" s="357">
        <f>'TTUHSCEP FGD'!$M$96</f>
        <v>39388</v>
      </c>
    </row>
    <row r="911" spans="2:13" hidden="1" outlineLevel="1">
      <c r="B911" s="392" t="str">
        <f>'UNTHSC FGD'!$B$2</f>
        <v>University of North Texas Health Science Center at Fort Worth</v>
      </c>
      <c r="C911" s="51"/>
      <c r="D911" s="355">
        <f>'UNTHSC FGD'!$D$96</f>
        <v>0</v>
      </c>
      <c r="E911" s="355">
        <f>'UNTHSC FGD'!$E$96</f>
        <v>0</v>
      </c>
      <c r="F911" s="355">
        <f>'UNTHSC FGD'!$F$96</f>
        <v>0</v>
      </c>
      <c r="G911" s="355">
        <f>'UNTHSC FGD'!$G$96</f>
        <v>70000</v>
      </c>
      <c r="H911" s="355">
        <f>'UNTHSC FGD'!$H$96</f>
        <v>0</v>
      </c>
      <c r="I911" s="355">
        <f>'UNTHSC FGD'!$I$96</f>
        <v>0</v>
      </c>
      <c r="J911" s="355">
        <f>'UNTHSC FGD'!$J$96</f>
        <v>0</v>
      </c>
      <c r="K911" s="355">
        <f>'UNTHSC FGD'!$K$96</f>
        <v>0</v>
      </c>
      <c r="L911" s="355">
        <f>'UNTHSC FGD'!$L$96</f>
        <v>57567</v>
      </c>
      <c r="M911" s="357">
        <f>'UNTHSC FGD'!$M$96</f>
        <v>127567</v>
      </c>
    </row>
    <row r="912" spans="2:13" collapsed="1">
      <c r="B912" s="51" t="s">
        <v>141</v>
      </c>
      <c r="C912" s="51"/>
      <c r="D912" s="355">
        <f t="shared" ref="D912:M912" si="67">SUM(D900:D911)</f>
        <v>0</v>
      </c>
      <c r="E912" s="355">
        <f t="shared" si="67"/>
        <v>0</v>
      </c>
      <c r="F912" s="355">
        <f t="shared" si="67"/>
        <v>0</v>
      </c>
      <c r="G912" s="355">
        <f t="shared" si="67"/>
        <v>70000</v>
      </c>
      <c r="H912" s="355">
        <f t="shared" si="67"/>
        <v>0</v>
      </c>
      <c r="I912" s="355">
        <f t="shared" si="67"/>
        <v>0</v>
      </c>
      <c r="J912" s="355">
        <f t="shared" si="67"/>
        <v>0</v>
      </c>
      <c r="K912" s="355">
        <f t="shared" si="67"/>
        <v>0</v>
      </c>
      <c r="L912" s="355">
        <f t="shared" si="67"/>
        <v>13013475</v>
      </c>
      <c r="M912" s="357">
        <f t="shared" si="67"/>
        <v>13083475</v>
      </c>
    </row>
    <row r="913" spans="1:13" hidden="1" outlineLevel="1">
      <c r="B913" s="392" t="str">
        <f>'AUSM FGD'!$B$2</f>
        <v>The University of Texas at Austin Medical School (M)</v>
      </c>
      <c r="C913" s="51"/>
      <c r="D913" s="355">
        <f>'AUSM FGD'!$D$97</f>
        <v>0</v>
      </c>
      <c r="E913" s="355">
        <f>'AUSM FGD'!$E$97</f>
        <v>0</v>
      </c>
      <c r="F913" s="355">
        <f>'AUSM FGD'!$F$97</f>
        <v>0</v>
      </c>
      <c r="G913" s="355">
        <f>'AUSM FGD'!$G$97</f>
        <v>0</v>
      </c>
      <c r="H913" s="355">
        <f>'AUSM FGD'!$H$97</f>
        <v>0</v>
      </c>
      <c r="I913" s="355">
        <f>'AUSM FGD'!$I$97</f>
        <v>0</v>
      </c>
      <c r="J913" s="355">
        <f>'AUSM FGD'!$J$97</f>
        <v>0</v>
      </c>
      <c r="K913" s="355">
        <f>'AUSM FGD'!$K$97</f>
        <v>0</v>
      </c>
      <c r="L913" s="355">
        <f>'AUSM FGD'!$L$97</f>
        <v>33400595</v>
      </c>
      <c r="M913" s="357">
        <f>'AUSM FGD'!$M$97</f>
        <v>33400595</v>
      </c>
    </row>
    <row r="914" spans="1:13" hidden="1" outlineLevel="1">
      <c r="B914" s="392" t="str">
        <f>'HSH FGD'!$B$2</f>
        <v>The University of Texas Health Science Center at Houston</v>
      </c>
      <c r="C914" s="51"/>
      <c r="D914" s="355">
        <f>'HSH FGD'!$D$97</f>
        <v>0</v>
      </c>
      <c r="E914" s="355">
        <f>'HSH FGD'!$E$97</f>
        <v>0</v>
      </c>
      <c r="F914" s="355">
        <f>'HSH FGD'!$F$97</f>
        <v>0</v>
      </c>
      <c r="G914" s="355">
        <f>'HSH FGD'!$G$97</f>
        <v>0</v>
      </c>
      <c r="H914" s="355">
        <f>'HSH FGD'!$H$97</f>
        <v>0</v>
      </c>
      <c r="I914" s="355">
        <f>'HSH FGD'!$I$97</f>
        <v>0</v>
      </c>
      <c r="J914" s="355">
        <f>'HSH FGD'!$J$97</f>
        <v>0</v>
      </c>
      <c r="K914" s="355">
        <f>'HSH FGD'!$K$97</f>
        <v>0</v>
      </c>
      <c r="L914" s="355">
        <f>'HSH FGD'!$L$97</f>
        <v>74887051</v>
      </c>
      <c r="M914" s="357">
        <f>'HSH FGD'!$M$97</f>
        <v>74887051</v>
      </c>
    </row>
    <row r="915" spans="1:13" hidden="1" outlineLevel="1">
      <c r="B915" s="392" t="str">
        <f>'HSSA FGD'!$B$2</f>
        <v>The University of Texas Health Science Center at San Antonio</v>
      </c>
      <c r="C915" s="51"/>
      <c r="D915" s="355">
        <f>'HSSA FGD'!$D$97</f>
        <v>0</v>
      </c>
      <c r="E915" s="355">
        <f>'HSSA FGD'!$E$97</f>
        <v>0</v>
      </c>
      <c r="F915" s="355">
        <f>'HSSA FGD'!$F$97</f>
        <v>0</v>
      </c>
      <c r="G915" s="355">
        <f>'HSSA FGD'!$G$97</f>
        <v>0</v>
      </c>
      <c r="H915" s="355">
        <f>'HSSA FGD'!$H$97</f>
        <v>0</v>
      </c>
      <c r="I915" s="355">
        <f>'HSSA FGD'!$I$97</f>
        <v>0</v>
      </c>
      <c r="J915" s="355">
        <f>'HSSA FGD'!$J$97</f>
        <v>0</v>
      </c>
      <c r="K915" s="355">
        <f>'HSSA FGD'!$K$97</f>
        <v>0</v>
      </c>
      <c r="L915" s="355">
        <f>'HSSA FGD'!$L$97</f>
        <v>109330544</v>
      </c>
      <c r="M915" s="357">
        <f>'HSSA FGD'!$M$97</f>
        <v>109330544</v>
      </c>
    </row>
    <row r="916" spans="1:13" hidden="1" outlineLevel="1">
      <c r="B916" s="392" t="str">
        <f>'MBG FGD'!$B$2</f>
        <v>The University of Texas Medical Branch at Galveston</v>
      </c>
      <c r="C916" s="51"/>
      <c r="D916" s="355">
        <f>'MBG FGD'!$D$97</f>
        <v>0</v>
      </c>
      <c r="E916" s="355">
        <f>'MBG FGD'!$E$97</f>
        <v>0</v>
      </c>
      <c r="F916" s="355">
        <f>'MBG FGD'!$F$97</f>
        <v>0</v>
      </c>
      <c r="G916" s="355">
        <f>'MBG FGD'!$G$97</f>
        <v>0</v>
      </c>
      <c r="H916" s="355">
        <f>'MBG FGD'!$H$97</f>
        <v>0</v>
      </c>
      <c r="I916" s="355">
        <f>'MBG FGD'!$I$97</f>
        <v>0</v>
      </c>
      <c r="J916" s="355">
        <f>'MBG FGD'!$J$97</f>
        <v>0</v>
      </c>
      <c r="K916" s="355">
        <f>'MBG FGD'!$K$97</f>
        <v>0</v>
      </c>
      <c r="L916" s="355">
        <f>'MBG FGD'!$L$97</f>
        <v>307352833</v>
      </c>
      <c r="M916" s="357">
        <f>'MBG FGD'!$M$97</f>
        <v>307352833</v>
      </c>
    </row>
    <row r="917" spans="1:13" hidden="1" outlineLevel="1">
      <c r="B917" s="392" t="str">
        <f>'MDA FGD'!$B$2</f>
        <v>The University of Texas M.D. Anderson Cancer Center</v>
      </c>
      <c r="C917" s="51"/>
      <c r="D917" s="355">
        <f>'MDA FGD'!$D$97</f>
        <v>0</v>
      </c>
      <c r="E917" s="355">
        <f>'MDA FGD'!$E$97</f>
        <v>0</v>
      </c>
      <c r="F917" s="355">
        <f>'MDA FGD'!$F$97</f>
        <v>0</v>
      </c>
      <c r="G917" s="355">
        <f>'MDA FGD'!$G$97</f>
        <v>0</v>
      </c>
      <c r="H917" s="355">
        <f>'MDA FGD'!$H$97</f>
        <v>0</v>
      </c>
      <c r="I917" s="355">
        <f>'MDA FGD'!$I$97</f>
        <v>0</v>
      </c>
      <c r="J917" s="355">
        <f>'MDA FGD'!$J$97</f>
        <v>0</v>
      </c>
      <c r="K917" s="355">
        <f>'MDA FGD'!$K$97</f>
        <v>0</v>
      </c>
      <c r="L917" s="355">
        <f>'MDA FGD'!$L$97</f>
        <v>372166197</v>
      </c>
      <c r="M917" s="357">
        <f>'MDA FGD'!$M$97</f>
        <v>372166197</v>
      </c>
    </row>
    <row r="918" spans="1:13" hidden="1" outlineLevel="1">
      <c r="B918" s="392" t="str">
        <f>'RGVM FGD'!$B$2</f>
        <v>The University of Texas Rio Grande Valley Medical School (M)</v>
      </c>
      <c r="C918" s="51"/>
      <c r="D918" s="355">
        <f>'RGVM FGD'!$D$97</f>
        <v>0</v>
      </c>
      <c r="E918" s="355">
        <f>'RGVM FGD'!$E$97</f>
        <v>0</v>
      </c>
      <c r="F918" s="355">
        <f>'RGVM FGD'!$F$97</f>
        <v>0</v>
      </c>
      <c r="G918" s="355">
        <f>'RGVM FGD'!$G$97</f>
        <v>0</v>
      </c>
      <c r="H918" s="355">
        <f>'RGVM FGD'!$H$97</f>
        <v>0</v>
      </c>
      <c r="I918" s="355">
        <f>'RGVM FGD'!$I$97</f>
        <v>0</v>
      </c>
      <c r="J918" s="355">
        <f>'RGVM FGD'!$J$97</f>
        <v>0</v>
      </c>
      <c r="K918" s="355">
        <f>'RGVM FGD'!$K$97</f>
        <v>0</v>
      </c>
      <c r="L918" s="355">
        <f>'RGVM FGD'!$L$97</f>
        <v>0</v>
      </c>
      <c r="M918" s="357">
        <f>'RGVM FGD'!$M$97</f>
        <v>0</v>
      </c>
    </row>
    <row r="919" spans="1:13" hidden="1" outlineLevel="1">
      <c r="B919" s="392" t="str">
        <f>'SWM FGD'!$B$2</f>
        <v>The University of Texas Southwestern Medical Center</v>
      </c>
      <c r="C919" s="51"/>
      <c r="D919" s="355">
        <f>'SWM FGD'!$D$97</f>
        <v>0</v>
      </c>
      <c r="E919" s="355">
        <f>'SWM FGD'!$E$97</f>
        <v>0</v>
      </c>
      <c r="F919" s="355">
        <f>'SWM FGD'!$F$97</f>
        <v>0</v>
      </c>
      <c r="G919" s="355">
        <f>'SWM FGD'!$G$97</f>
        <v>0</v>
      </c>
      <c r="H919" s="355">
        <f>'SWM FGD'!$H$97</f>
        <v>0</v>
      </c>
      <c r="I919" s="355">
        <f>'SWM FGD'!$I$97</f>
        <v>0</v>
      </c>
      <c r="J919" s="355">
        <f>'SWM FGD'!$J$97</f>
        <v>0</v>
      </c>
      <c r="K919" s="355">
        <f>'SWM FGD'!$K$97</f>
        <v>0</v>
      </c>
      <c r="L919" s="355">
        <f>'SWM FGD'!$L$97</f>
        <v>269690378</v>
      </c>
      <c r="M919" s="357">
        <f>'SWM FGD'!$M$97</f>
        <v>269690378</v>
      </c>
    </row>
    <row r="920" spans="1:13" hidden="1" outlineLevel="1">
      <c r="B920" s="392" t="str">
        <f>'TAMHSC FGD'!$B$2</f>
        <v>Texas A&amp;M University System Health Science Center</v>
      </c>
      <c r="C920" s="51"/>
      <c r="D920" s="355">
        <f>'TAMHSC FGD'!$D$97</f>
        <v>532683</v>
      </c>
      <c r="E920" s="355">
        <f>'TAMHSC FGD'!$E$97</f>
        <v>2583751</v>
      </c>
      <c r="F920" s="355">
        <f>'TAMHSC FGD'!$F$97</f>
        <v>277401</v>
      </c>
      <c r="G920" s="355">
        <f>'TAMHSC FGD'!$G$97</f>
        <v>521946</v>
      </c>
      <c r="H920" s="355">
        <f>'TAMHSC FGD'!$H$97</f>
        <v>0</v>
      </c>
      <c r="I920" s="355">
        <f>'TAMHSC FGD'!$I$97</f>
        <v>0</v>
      </c>
      <c r="J920" s="355">
        <f>'TAMHSC FGD'!$J$97</f>
        <v>157046</v>
      </c>
      <c r="K920" s="355">
        <f>'TAMHSC FGD'!$K$97</f>
        <v>0</v>
      </c>
      <c r="L920" s="355">
        <f>'TAMHSC FGD'!$L$97</f>
        <v>0</v>
      </c>
      <c r="M920" s="357">
        <f>'TAMHSC FGD'!$M$97</f>
        <v>4072827</v>
      </c>
    </row>
    <row r="921" spans="1:13" hidden="1" outlineLevel="1">
      <c r="B921" s="392" t="str">
        <f>'THC FGD'!$B$2</f>
        <v>The University of Texas Health Science Center at Tyler</v>
      </c>
      <c r="C921" s="51"/>
      <c r="D921" s="355">
        <f>'THC FGD'!$D$97</f>
        <v>0</v>
      </c>
      <c r="E921" s="355">
        <f>'THC FGD'!$E$97</f>
        <v>0</v>
      </c>
      <c r="F921" s="355">
        <f>'THC FGD'!$F$97</f>
        <v>0</v>
      </c>
      <c r="G921" s="355">
        <f>'THC FGD'!$G$97</f>
        <v>0</v>
      </c>
      <c r="H921" s="355">
        <f>'THC FGD'!$H$97</f>
        <v>0</v>
      </c>
      <c r="I921" s="355">
        <f>'THC FGD'!$I$97</f>
        <v>0</v>
      </c>
      <c r="J921" s="355">
        <f>'THC FGD'!$J$97</f>
        <v>0</v>
      </c>
      <c r="K921" s="355">
        <f>'THC FGD'!$K$97</f>
        <v>0</v>
      </c>
      <c r="L921" s="355">
        <f>'THC FGD'!$L$97</f>
        <v>32471815</v>
      </c>
      <c r="M921" s="357">
        <f>'THC FGD'!$M$97</f>
        <v>32471815</v>
      </c>
    </row>
    <row r="922" spans="1:13" hidden="1" outlineLevel="1">
      <c r="B922" s="392" t="str">
        <f>'TTUHSC FGD'!$B$2</f>
        <v>Texas Tech University Health Sciences Center</v>
      </c>
      <c r="C922" s="51"/>
      <c r="D922" s="355">
        <f>'TTUHSC FGD'!$D$97</f>
        <v>1337272</v>
      </c>
      <c r="E922" s="355">
        <f>'TTUHSC FGD'!$E$97</f>
        <v>2126524</v>
      </c>
      <c r="F922" s="355">
        <f>'TTUHSC FGD'!$F$97</f>
        <v>0</v>
      </c>
      <c r="G922" s="355">
        <f>'TTUHSC FGD'!$G$97</f>
        <v>587186</v>
      </c>
      <c r="H922" s="355">
        <f>'TTUHSC FGD'!$H$97</f>
        <v>0</v>
      </c>
      <c r="I922" s="355">
        <f>'TTUHSC FGD'!$I$97</f>
        <v>0</v>
      </c>
      <c r="J922" s="355">
        <f>'TTUHSC FGD'!$J$97</f>
        <v>56086071</v>
      </c>
      <c r="K922" s="355">
        <f>'TTUHSC FGD'!$K$97</f>
        <v>0</v>
      </c>
      <c r="L922" s="355">
        <f>'TTUHSC FGD'!$L$97</f>
        <v>0</v>
      </c>
      <c r="M922" s="357">
        <f>'TTUHSC FGD'!$M$97</f>
        <v>60137053</v>
      </c>
    </row>
    <row r="923" spans="1:13" hidden="1" outlineLevel="1">
      <c r="B923" s="392" t="str">
        <f>'TTUHSCEP FGD'!$B$2</f>
        <v>Texas Tech University Health Sciences Center at El Paso</v>
      </c>
      <c r="C923" s="51"/>
      <c r="D923" s="355">
        <f>'TTUHSCEP FGD'!$D$97</f>
        <v>743788</v>
      </c>
      <c r="E923" s="355">
        <f>'TTUHSCEP FGD'!$E$97</f>
        <v>683595</v>
      </c>
      <c r="F923" s="355">
        <f>'TTUHSCEP FGD'!$F$97</f>
        <v>0</v>
      </c>
      <c r="G923" s="355">
        <f>'TTUHSCEP FGD'!$G$97</f>
        <v>87685</v>
      </c>
      <c r="H923" s="355">
        <f>'TTUHSCEP FGD'!$H$97</f>
        <v>0</v>
      </c>
      <c r="I923" s="355">
        <f>'TTUHSCEP FGD'!$I$97</f>
        <v>0</v>
      </c>
      <c r="J923" s="355">
        <f>'TTUHSCEP FGD'!$J$97</f>
        <v>27703730</v>
      </c>
      <c r="K923" s="355">
        <f>'TTUHSCEP FGD'!$K$97</f>
        <v>0</v>
      </c>
      <c r="L923" s="355">
        <f>'TTUHSCEP FGD'!$L$97</f>
        <v>0</v>
      </c>
      <c r="M923" s="357">
        <f>'TTUHSCEP FGD'!$M$97</f>
        <v>29218798</v>
      </c>
    </row>
    <row r="924" spans="1:13" hidden="1" outlineLevel="1">
      <c r="B924" s="392" t="str">
        <f>'UNTHSC FGD'!$B$2</f>
        <v>University of North Texas Health Science Center at Fort Worth</v>
      </c>
      <c r="C924" s="51"/>
      <c r="D924" s="355">
        <f>'UNTHSC FGD'!$D$97</f>
        <v>0</v>
      </c>
      <c r="E924" s="355">
        <f>'UNTHSC FGD'!$E$97</f>
        <v>0</v>
      </c>
      <c r="F924" s="355">
        <f>'UNTHSC FGD'!$F$97</f>
        <v>0</v>
      </c>
      <c r="G924" s="355">
        <f>'UNTHSC FGD'!$G$97</f>
        <v>0</v>
      </c>
      <c r="H924" s="355">
        <f>'UNTHSC FGD'!$H$97</f>
        <v>0</v>
      </c>
      <c r="I924" s="355">
        <f>'UNTHSC FGD'!$I$97</f>
        <v>0</v>
      </c>
      <c r="J924" s="355">
        <f>'UNTHSC FGD'!$J$97</f>
        <v>0</v>
      </c>
      <c r="K924" s="355">
        <f>'UNTHSC FGD'!$K$97</f>
        <v>0</v>
      </c>
      <c r="L924" s="355">
        <f>'UNTHSC FGD'!$L$97</f>
        <v>75246042</v>
      </c>
      <c r="M924" s="357">
        <f>'UNTHSC FGD'!$M$97</f>
        <v>75246042</v>
      </c>
    </row>
    <row r="925" spans="1:13" collapsed="1">
      <c r="A925" s="147">
        <v>79</v>
      </c>
      <c r="B925" s="51" t="s">
        <v>70</v>
      </c>
      <c r="C925" s="51"/>
      <c r="D925" s="355">
        <f t="shared" ref="D925:M925" si="68">SUM(D913:D924)</f>
        <v>2613743</v>
      </c>
      <c r="E925" s="355">
        <f t="shared" si="68"/>
        <v>5393870</v>
      </c>
      <c r="F925" s="355">
        <f t="shared" si="68"/>
        <v>277401</v>
      </c>
      <c r="G925" s="355">
        <f t="shared" si="68"/>
        <v>1196817</v>
      </c>
      <c r="H925" s="355">
        <f t="shared" si="68"/>
        <v>0</v>
      </c>
      <c r="I925" s="355">
        <f t="shared" si="68"/>
        <v>0</v>
      </c>
      <c r="J925" s="355">
        <f t="shared" si="68"/>
        <v>83946847</v>
      </c>
      <c r="K925" s="355">
        <f t="shared" si="68"/>
        <v>0</v>
      </c>
      <c r="L925" s="355">
        <f t="shared" si="68"/>
        <v>1274545455</v>
      </c>
      <c r="M925" s="357">
        <f t="shared" si="68"/>
        <v>1367974133</v>
      </c>
    </row>
    <row r="926" spans="1:13" hidden="1" outlineLevel="1">
      <c r="B926" s="392" t="str">
        <f>'AUSM FGD'!$B$2</f>
        <v>The University of Texas at Austin Medical School (M)</v>
      </c>
      <c r="C926" s="51"/>
      <c r="D926" s="355">
        <f>'AUSM FGD'!$D$98</f>
        <v>-42335350</v>
      </c>
      <c r="E926" s="355">
        <f>'AUSM FGD'!$E$98</f>
        <v>-13168134</v>
      </c>
      <c r="F926" s="355">
        <f>'AUSM FGD'!$F$98</f>
        <v>-2381361</v>
      </c>
      <c r="G926" s="355">
        <f>'AUSM FGD'!$G$98</f>
        <v>8984829</v>
      </c>
      <c r="H926" s="355">
        <f>'AUSM FGD'!$H$98</f>
        <v>0</v>
      </c>
      <c r="I926" s="355">
        <f>'AUSM FGD'!$I$98</f>
        <v>2956567</v>
      </c>
      <c r="J926" s="355">
        <f>'AUSM FGD'!$J$98</f>
        <v>-27398012</v>
      </c>
      <c r="K926" s="355">
        <f>'AUSM FGD'!$K$98</f>
        <v>0</v>
      </c>
      <c r="L926" s="355">
        <f>'AUSM FGD'!$L$98</f>
        <v>8629577</v>
      </c>
      <c r="M926" s="357">
        <f>'AUSM FGD'!$M$98</f>
        <v>-64711884</v>
      </c>
    </row>
    <row r="927" spans="1:13" hidden="1" outlineLevel="1">
      <c r="B927" s="392" t="str">
        <f>'HSH FGD'!$B$2</f>
        <v>The University of Texas Health Science Center at Houston</v>
      </c>
      <c r="C927" s="51"/>
      <c r="D927" s="355">
        <f>'HSH FGD'!$D$98</f>
        <v>14742316</v>
      </c>
      <c r="E927" s="355">
        <f>'HSH FGD'!$E$98</f>
        <v>-68520262</v>
      </c>
      <c r="F927" s="355">
        <f>'HSH FGD'!$F$98</f>
        <v>-15176958</v>
      </c>
      <c r="G927" s="355">
        <f>'HSH FGD'!$G$98</f>
        <v>6690267</v>
      </c>
      <c r="H927" s="355">
        <f>'HSH FGD'!$H$98</f>
        <v>-2678422</v>
      </c>
      <c r="I927" s="355">
        <f>'HSH FGD'!$I$98</f>
        <v>142772594</v>
      </c>
      <c r="J927" s="355">
        <f>'HSH FGD'!$J$98</f>
        <v>-29522821</v>
      </c>
      <c r="K927" s="355">
        <f>'HSH FGD'!$K$98</f>
        <v>0</v>
      </c>
      <c r="L927" s="355">
        <f>'HSH FGD'!$L$98</f>
        <v>9566347</v>
      </c>
      <c r="M927" s="357">
        <f>'HSH FGD'!$M$98</f>
        <v>57873061</v>
      </c>
    </row>
    <row r="928" spans="1:13" hidden="1" outlineLevel="1">
      <c r="B928" s="392" t="str">
        <f>'HSSA FGD'!$B$2</f>
        <v>The University of Texas Health Science Center at San Antonio</v>
      </c>
      <c r="C928" s="51"/>
      <c r="D928" s="355">
        <f>'HSSA FGD'!$D$98</f>
        <v>309061</v>
      </c>
      <c r="E928" s="355">
        <f>'HSSA FGD'!$E$98</f>
        <v>7513790</v>
      </c>
      <c r="F928" s="355">
        <f>'HSSA FGD'!$F$98</f>
        <v>-17427</v>
      </c>
      <c r="G928" s="355">
        <f>'HSSA FGD'!$G$98</f>
        <v>-8798999</v>
      </c>
      <c r="H928" s="355">
        <f>'HSSA FGD'!$H$98</f>
        <v>-5336785</v>
      </c>
      <c r="I928" s="355">
        <f>'HSSA FGD'!$I$98</f>
        <v>41918346</v>
      </c>
      <c r="J928" s="355">
        <f>'HSSA FGD'!$J$98</f>
        <v>-11717613</v>
      </c>
      <c r="K928" s="355">
        <f>'HSSA FGD'!$K$98</f>
        <v>0</v>
      </c>
      <c r="L928" s="355">
        <f>'HSSA FGD'!$L$98</f>
        <v>54528604</v>
      </c>
      <c r="M928" s="357">
        <f>'HSSA FGD'!$M$98</f>
        <v>78398977</v>
      </c>
    </row>
    <row r="929" spans="1:15" hidden="1" outlineLevel="1">
      <c r="B929" s="392" t="str">
        <f>'MBG FGD'!$B$2</f>
        <v>The University of Texas Medical Branch at Galveston</v>
      </c>
      <c r="C929" s="51"/>
      <c r="D929" s="355">
        <f>'MBG FGD'!$D$98</f>
        <v>-12596789</v>
      </c>
      <c r="E929" s="355">
        <f>'MBG FGD'!$E$98</f>
        <v>46898069</v>
      </c>
      <c r="F929" s="355">
        <f>'MBG FGD'!$F$98</f>
        <v>1003802</v>
      </c>
      <c r="G929" s="355">
        <f>'MBG FGD'!$G$98</f>
        <v>1171470</v>
      </c>
      <c r="H929" s="355">
        <f>'MBG FGD'!$H$98</f>
        <v>-1307645</v>
      </c>
      <c r="I929" s="355">
        <f>'MBG FGD'!$I$98</f>
        <v>35273518</v>
      </c>
      <c r="J929" s="355">
        <f>'MBG FGD'!$J$98</f>
        <v>-32861042</v>
      </c>
      <c r="K929" s="355">
        <f>'MBG FGD'!$K$98</f>
        <v>0</v>
      </c>
      <c r="L929" s="355">
        <f>'MBG FGD'!$L$98</f>
        <v>146025462</v>
      </c>
      <c r="M929" s="357">
        <f>'MBG FGD'!$M$98</f>
        <v>183606845</v>
      </c>
    </row>
    <row r="930" spans="1:15" hidden="1" outlineLevel="1">
      <c r="B930" s="392" t="str">
        <f>'MDA FGD'!$B$2</f>
        <v>The University of Texas M.D. Anderson Cancer Center</v>
      </c>
      <c r="C930" s="51"/>
      <c r="D930" s="355">
        <f>'MDA FGD'!$D$98</f>
        <v>536319277</v>
      </c>
      <c r="E930" s="355">
        <f>'MDA FGD'!$E$98</f>
        <v>68381072</v>
      </c>
      <c r="F930" s="355">
        <f>'MDA FGD'!$F$98</f>
        <v>11847376</v>
      </c>
      <c r="G930" s="355">
        <f>'MDA FGD'!$G$98</f>
        <v>-44736820</v>
      </c>
      <c r="H930" s="355">
        <f>'MDA FGD'!$H$98</f>
        <v>0</v>
      </c>
      <c r="I930" s="355">
        <f>'MDA FGD'!$I$98</f>
        <v>75757068</v>
      </c>
      <c r="J930" s="355">
        <f>'MDA FGD'!$J$98</f>
        <v>166578683</v>
      </c>
      <c r="K930" s="355">
        <f>'MDA FGD'!$K$98</f>
        <v>0</v>
      </c>
      <c r="L930" s="355">
        <f>'MDA FGD'!$L$98</f>
        <v>5337577</v>
      </c>
      <c r="M930" s="357">
        <f>'MDA FGD'!$M$98</f>
        <v>819484233</v>
      </c>
    </row>
    <row r="931" spans="1:15" hidden="1" outlineLevel="1">
      <c r="B931" s="392" t="str">
        <f>'RGVM FGD'!$B$2</f>
        <v>The University of Texas Rio Grande Valley Medical School (M)</v>
      </c>
      <c r="C931" s="51"/>
      <c r="D931" s="355">
        <f>'RGVM FGD'!$D$98</f>
        <v>-6522233</v>
      </c>
      <c r="E931" s="355">
        <f>'RGVM FGD'!$E$98</f>
        <v>16903238</v>
      </c>
      <c r="F931" s="355">
        <f>'RGVM FGD'!$F$98</f>
        <v>55867</v>
      </c>
      <c r="G931" s="355">
        <f>'RGVM FGD'!$G$98</f>
        <v>-572002</v>
      </c>
      <c r="H931" s="355">
        <f>'RGVM FGD'!$H$98</f>
        <v>0</v>
      </c>
      <c r="I931" s="355">
        <f>'RGVM FGD'!$I$98</f>
        <v>352196</v>
      </c>
      <c r="J931" s="355">
        <f>'RGVM FGD'!$J$98</f>
        <v>12040874</v>
      </c>
      <c r="K931" s="355">
        <f>'RGVM FGD'!$K$98</f>
        <v>0</v>
      </c>
      <c r="L931" s="355">
        <f>'RGVM FGD'!$L$98</f>
        <v>-7748667</v>
      </c>
      <c r="M931" s="357">
        <f>'RGVM FGD'!$M$98</f>
        <v>14509273</v>
      </c>
    </row>
    <row r="932" spans="1:15" hidden="1" outlineLevel="1">
      <c r="B932" s="392" t="str">
        <f>'SWM FGD'!$B$2</f>
        <v>The University of Texas Southwestern Medical Center</v>
      </c>
      <c r="C932" s="51"/>
      <c r="D932" s="355">
        <f>'SWM FGD'!$D$98</f>
        <v>-1766196</v>
      </c>
      <c r="E932" s="355">
        <f>'SWM FGD'!$E$98</f>
        <v>160444945</v>
      </c>
      <c r="F932" s="355">
        <f>'SWM FGD'!$F$98</f>
        <v>4035666</v>
      </c>
      <c r="G932" s="355">
        <f>'SWM FGD'!$G$98</f>
        <v>23789816</v>
      </c>
      <c r="H932" s="355">
        <f>'SWM FGD'!$H$98</f>
        <v>-5808648</v>
      </c>
      <c r="I932" s="355">
        <f>'SWM FGD'!$I$98</f>
        <v>83668860</v>
      </c>
      <c r="J932" s="355">
        <f>'SWM FGD'!$J$98</f>
        <v>-123454399</v>
      </c>
      <c r="K932" s="355">
        <f>'SWM FGD'!$K$98</f>
        <v>0</v>
      </c>
      <c r="L932" s="355">
        <f>'SWM FGD'!$L$98</f>
        <v>91940324</v>
      </c>
      <c r="M932" s="357">
        <f>'SWM FGD'!$M$98</f>
        <v>232850368</v>
      </c>
    </row>
    <row r="933" spans="1:15" hidden="1" outlineLevel="1">
      <c r="B933" s="392" t="str">
        <f>'TAMHSC FGD'!$B$2</f>
        <v>Texas A&amp;M University System Health Science Center</v>
      </c>
      <c r="C933" s="51"/>
      <c r="D933" s="355">
        <f>'TAMHSC FGD'!$D$98</f>
        <v>10549281</v>
      </c>
      <c r="E933" s="355">
        <f>'TAMHSC FGD'!$E$98</f>
        <v>17679923</v>
      </c>
      <c r="F933" s="355">
        <f>'TAMHSC FGD'!$F$98</f>
        <v>602445</v>
      </c>
      <c r="G933" s="355">
        <f>'TAMHSC FGD'!$G$98</f>
        <v>3756958</v>
      </c>
      <c r="H933" s="355">
        <f>'TAMHSC FGD'!$H$98</f>
        <v>132011</v>
      </c>
      <c r="I933" s="355">
        <f>'TAMHSC FGD'!$I$98</f>
        <v>4453938</v>
      </c>
      <c r="J933" s="355">
        <f>'TAMHSC FGD'!$J$98</f>
        <v>161826</v>
      </c>
      <c r="K933" s="355">
        <f>'TAMHSC FGD'!$K$98</f>
        <v>0</v>
      </c>
      <c r="L933" s="355">
        <f>'TAMHSC FGD'!$L$98</f>
        <v>41314045</v>
      </c>
      <c r="M933" s="357">
        <f>'TAMHSC FGD'!$M$98</f>
        <v>78650427</v>
      </c>
    </row>
    <row r="934" spans="1:15" hidden="1" outlineLevel="1">
      <c r="B934" s="392" t="str">
        <f>'THC FGD'!$B$2</f>
        <v>The University of Texas Health Science Center at Tyler</v>
      </c>
      <c r="C934" s="51"/>
      <c r="D934" s="355">
        <f>'THC FGD'!$D$98</f>
        <v>-3618937</v>
      </c>
      <c r="E934" s="355">
        <f>'THC FGD'!$E$98</f>
        <v>-16044116</v>
      </c>
      <c r="F934" s="355">
        <f>'THC FGD'!$F$98</f>
        <v>20288</v>
      </c>
      <c r="G934" s="355">
        <f>'THC FGD'!$G$98</f>
        <v>317141</v>
      </c>
      <c r="H934" s="355">
        <f>'THC FGD'!$H$98</f>
        <v>0</v>
      </c>
      <c r="I934" s="355">
        <f>'THC FGD'!$I$98</f>
        <v>2431947</v>
      </c>
      <c r="J934" s="355">
        <f>'THC FGD'!$J$98</f>
        <v>-2571901</v>
      </c>
      <c r="K934" s="355">
        <f>'THC FGD'!$K$98</f>
        <v>0</v>
      </c>
      <c r="L934" s="355">
        <f>'THC FGD'!$L$98</f>
        <v>18200645</v>
      </c>
      <c r="M934" s="357">
        <f>'THC FGD'!$M$98</f>
        <v>-1264933</v>
      </c>
    </row>
    <row r="935" spans="1:15" hidden="1" outlineLevel="1">
      <c r="B935" s="392" t="str">
        <f>'TTUHSC FGD'!$B$2</f>
        <v>Texas Tech University Health Sciences Center</v>
      </c>
      <c r="C935" s="51"/>
      <c r="D935" s="355">
        <f>'TTUHSC FGD'!$D$98</f>
        <v>-4214605</v>
      </c>
      <c r="E935" s="355">
        <f>'TTUHSC FGD'!$E$98</f>
        <v>16421472</v>
      </c>
      <c r="F935" s="355">
        <f>'TTUHSC FGD'!$F$98</f>
        <v>400826</v>
      </c>
      <c r="G935" s="355">
        <f>'TTUHSC FGD'!$G$98</f>
        <v>9025301</v>
      </c>
      <c r="H935" s="355">
        <f>'TTUHSC FGD'!$H$98</f>
        <v>-165151</v>
      </c>
      <c r="I935" s="355">
        <f>'TTUHSC FGD'!$I$98</f>
        <v>4792324</v>
      </c>
      <c r="J935" s="355">
        <f>'TTUHSC FGD'!$J$98</f>
        <v>50606608</v>
      </c>
      <c r="K935" s="355">
        <f>'TTUHSC FGD'!$K$98</f>
        <v>0</v>
      </c>
      <c r="L935" s="355">
        <f>'TTUHSC FGD'!$L$98</f>
        <v>-9173452</v>
      </c>
      <c r="M935" s="357">
        <f>'TTUHSC FGD'!$M$98</f>
        <v>67693323</v>
      </c>
    </row>
    <row r="936" spans="1:15" hidden="1" outlineLevel="1">
      <c r="B936" s="392" t="str">
        <f>'TTUHSCEP FGD'!$B$2</f>
        <v>Texas Tech University Health Sciences Center at El Paso</v>
      </c>
      <c r="C936" s="51"/>
      <c r="D936" s="355">
        <f>'TTUHSCEP FGD'!$D$98</f>
        <v>5894409</v>
      </c>
      <c r="E936" s="355">
        <f>'TTUHSCEP FGD'!$E$98</f>
        <v>21733769</v>
      </c>
      <c r="F936" s="355">
        <f>'TTUHSCEP FGD'!$F$98</f>
        <v>67723</v>
      </c>
      <c r="G936" s="355">
        <f>'TTUHSCEP FGD'!$G$98</f>
        <v>675464</v>
      </c>
      <c r="H936" s="355">
        <f>'TTUHSCEP FGD'!$H$98</f>
        <v>3816</v>
      </c>
      <c r="I936" s="355">
        <f>'TTUHSCEP FGD'!$I$98</f>
        <v>1450878</v>
      </c>
      <c r="J936" s="355">
        <f>'TTUHSCEP FGD'!$J$98</f>
        <v>26799609</v>
      </c>
      <c r="K936" s="355">
        <f>'TTUHSCEP FGD'!$K$98</f>
        <v>-38816</v>
      </c>
      <c r="L936" s="355">
        <f>'TTUHSCEP FGD'!$L$98</f>
        <v>-10798023</v>
      </c>
      <c r="M936" s="357">
        <f>'TTUHSCEP FGD'!$M$98</f>
        <v>45788829</v>
      </c>
    </row>
    <row r="937" spans="1:15" hidden="1" outlineLevel="1">
      <c r="B937" s="392" t="str">
        <f>'UNTHSC FGD'!$B$2</f>
        <v>University of North Texas Health Science Center at Fort Worth</v>
      </c>
      <c r="C937" s="51"/>
      <c r="D937" s="355">
        <f>'UNTHSC FGD'!$D$98</f>
        <v>5771970</v>
      </c>
      <c r="E937" s="355">
        <f>'UNTHSC FGD'!$E$98</f>
        <v>89827891</v>
      </c>
      <c r="F937" s="355">
        <f>'UNTHSC FGD'!$F$98</f>
        <v>-273249</v>
      </c>
      <c r="G937" s="355">
        <f>'UNTHSC FGD'!$G$98</f>
        <v>10406563</v>
      </c>
      <c r="H937" s="355">
        <f>'UNTHSC FGD'!$H$98</f>
        <v>835587</v>
      </c>
      <c r="I937" s="355">
        <f>'UNTHSC FGD'!$I$98</f>
        <v>5011547</v>
      </c>
      <c r="J937" s="355">
        <f>'UNTHSC FGD'!$J$98</f>
        <v>0</v>
      </c>
      <c r="K937" s="355">
        <f>'UNTHSC FGD'!$K$98</f>
        <v>305409</v>
      </c>
      <c r="L937" s="355">
        <f>'UNTHSC FGD'!$L$98</f>
        <v>70347267</v>
      </c>
      <c r="M937" s="357">
        <f>'UNTHSC FGD'!$M$98</f>
        <v>182232985</v>
      </c>
    </row>
    <row r="938" spans="1:15" ht="13.5" collapsed="1" thickBot="1">
      <c r="B938" s="167" t="s">
        <v>64</v>
      </c>
      <c r="C938" s="167"/>
      <c r="D938" s="360">
        <f t="shared" ref="D938:M938" si="69">SUM(D926:D937)</f>
        <v>502532204</v>
      </c>
      <c r="E938" s="360">
        <f t="shared" si="69"/>
        <v>348071657</v>
      </c>
      <c r="F938" s="360">
        <f t="shared" si="69"/>
        <v>184998</v>
      </c>
      <c r="G938" s="360">
        <f t="shared" si="69"/>
        <v>10709988</v>
      </c>
      <c r="H938" s="360">
        <f t="shared" si="69"/>
        <v>-14325237</v>
      </c>
      <c r="I938" s="360">
        <f t="shared" si="69"/>
        <v>400839783</v>
      </c>
      <c r="J938" s="360">
        <f t="shared" si="69"/>
        <v>28661812</v>
      </c>
      <c r="K938" s="360">
        <f t="shared" si="69"/>
        <v>266593</v>
      </c>
      <c r="L938" s="360">
        <f t="shared" si="69"/>
        <v>418169706</v>
      </c>
      <c r="M938" s="360">
        <f t="shared" si="69"/>
        <v>1695111504</v>
      </c>
      <c r="O938" s="293" t="str">
        <f>IF(M938&lt;&gt;M1071,"Error","OK")</f>
        <v>OK</v>
      </c>
    </row>
    <row r="939" spans="1:15" ht="13.5" thickTop="1">
      <c r="A939" s="147">
        <v>80</v>
      </c>
      <c r="D939" s="168"/>
      <c r="E939" s="168"/>
      <c r="F939" s="168"/>
      <c r="G939" s="168"/>
      <c r="H939" s="168"/>
      <c r="I939" s="168"/>
      <c r="J939" s="168"/>
      <c r="K939" s="168"/>
      <c r="L939" s="168"/>
      <c r="M939" s="168"/>
    </row>
    <row r="940" spans="1:15">
      <c r="A940" s="147">
        <v>81</v>
      </c>
      <c r="B940" s="392" t="s">
        <v>1296</v>
      </c>
      <c r="C940" s="169"/>
      <c r="I940" s="156"/>
    </row>
    <row r="941" spans="1:15">
      <c r="A941" s="147">
        <v>82</v>
      </c>
      <c r="B941" s="169" t="s">
        <v>85</v>
      </c>
    </row>
    <row r="942" spans="1:15">
      <c r="A942" s="147">
        <v>83</v>
      </c>
      <c r="B942" s="51" t="s">
        <v>1247</v>
      </c>
    </row>
    <row r="943" spans="1:15">
      <c r="A943" s="147">
        <v>84</v>
      </c>
    </row>
    <row r="944" spans="1:15">
      <c r="M944" s="170"/>
    </row>
    <row r="945" spans="2:15" hidden="1" outlineLevel="1">
      <c r="B945" s="392" t="str">
        <f>'AUSM FGD'!$B$2</f>
        <v>The University of Texas at Austin Medical School (M)</v>
      </c>
      <c r="M945" s="562">
        <f>'AUSM FGD'!$M$105</f>
        <v>-64711884</v>
      </c>
    </row>
    <row r="946" spans="2:15" hidden="1" outlineLevel="1">
      <c r="B946" s="392" t="str">
        <f>'HSH FGD'!$B$2</f>
        <v>The University of Texas Health Science Center at Houston</v>
      </c>
      <c r="M946" s="562">
        <f>'HSH FGD'!$M$105</f>
        <v>57873061</v>
      </c>
    </row>
    <row r="947" spans="2:15" hidden="1" outlineLevel="1">
      <c r="B947" s="392" t="str">
        <f>'HSSA FGD'!$B$2</f>
        <v>The University of Texas Health Science Center at San Antonio</v>
      </c>
      <c r="M947" s="562">
        <f>'HSSA FGD'!$M$105</f>
        <v>78398977</v>
      </c>
    </row>
    <row r="948" spans="2:15" hidden="1" outlineLevel="1">
      <c r="B948" s="392" t="str">
        <f>'MBG FGD'!$B$2</f>
        <v>The University of Texas Medical Branch at Galveston</v>
      </c>
      <c r="M948" s="562">
        <f>'MBG FGD'!$M$105</f>
        <v>183606845</v>
      </c>
    </row>
    <row r="949" spans="2:15" hidden="1" outlineLevel="1">
      <c r="B949" s="392" t="str">
        <f>'MDA FGD'!$B$2</f>
        <v>The University of Texas M.D. Anderson Cancer Center</v>
      </c>
      <c r="M949" s="562">
        <f>'MDA FGD'!$M$105</f>
        <v>819484233</v>
      </c>
    </row>
    <row r="950" spans="2:15" hidden="1" outlineLevel="1">
      <c r="B950" s="392" t="str">
        <f>'RGVM FGD'!$B$2</f>
        <v>The University of Texas Rio Grande Valley Medical School (M)</v>
      </c>
      <c r="M950" s="562">
        <f>'RGVM FGD'!$M$105</f>
        <v>14509273</v>
      </c>
    </row>
    <row r="951" spans="2:15" hidden="1" outlineLevel="1">
      <c r="B951" s="392" t="str">
        <f>'SWM FGD'!$B$2</f>
        <v>The University of Texas Southwestern Medical Center</v>
      </c>
      <c r="M951" s="562">
        <f>'SWM FGD'!$M$105</f>
        <v>232850368</v>
      </c>
    </row>
    <row r="952" spans="2:15" hidden="1" outlineLevel="1">
      <c r="B952" s="392" t="str">
        <f>'TAMHSC FGD'!$B$2</f>
        <v>Texas A&amp;M University System Health Science Center</v>
      </c>
      <c r="M952" s="562">
        <f>'TAMHSC FGD'!$M$105</f>
        <v>78650427</v>
      </c>
    </row>
    <row r="953" spans="2:15" hidden="1" outlineLevel="1">
      <c r="B953" s="392" t="str">
        <f>'THC FGD'!$B$2</f>
        <v>The University of Texas Health Science Center at Tyler</v>
      </c>
      <c r="M953" s="562">
        <f>'THC FGD'!$M$105</f>
        <v>-1264933</v>
      </c>
    </row>
    <row r="954" spans="2:15" hidden="1" outlineLevel="1">
      <c r="B954" s="392" t="str">
        <f>'TTUHSC FGD'!$B$2</f>
        <v>Texas Tech University Health Sciences Center</v>
      </c>
      <c r="M954" s="562">
        <f>'TTUHSC FGD'!$M$105</f>
        <v>67693323</v>
      </c>
    </row>
    <row r="955" spans="2:15" hidden="1" outlineLevel="1">
      <c r="B955" s="392" t="str">
        <f>'TTUHSCEP FGD'!$B$2</f>
        <v>Texas Tech University Health Sciences Center at El Paso</v>
      </c>
      <c r="M955" s="562">
        <f>'TTUHSCEP FGD'!$M$105</f>
        <v>45788829</v>
      </c>
    </row>
    <row r="956" spans="2:15" hidden="1" outlineLevel="1">
      <c r="B956" s="392" t="str">
        <f>'UNTHSC FGD'!$B$2</f>
        <v>University of North Texas Health Science Center at Fort Worth</v>
      </c>
      <c r="M956" s="562">
        <f>'UNTHSC FGD'!$M$105</f>
        <v>182232985</v>
      </c>
    </row>
    <row r="957" spans="2:15" ht="12.75" customHeight="1" collapsed="1">
      <c r="B957" s="51" t="s">
        <v>1248</v>
      </c>
      <c r="D957" s="171"/>
      <c r="E957" s="171"/>
      <c r="F957" s="171"/>
      <c r="G957" s="171"/>
      <c r="H957" s="171"/>
      <c r="I957" s="171"/>
      <c r="J957" s="171"/>
      <c r="K957" s="171"/>
      <c r="L957" s="172"/>
      <c r="M957" s="355">
        <f>SUM(M945:M956)</f>
        <v>1695111504</v>
      </c>
      <c r="O957" s="293"/>
    </row>
    <row r="958" spans="2:15" ht="12.75" hidden="1" customHeight="1" outlineLevel="1">
      <c r="B958" s="392" t="str">
        <f>'AUSM FGD'!$B$2</f>
        <v>The University of Texas at Austin Medical School (M)</v>
      </c>
      <c r="D958" s="171"/>
      <c r="E958" s="171"/>
      <c r="F958" s="171"/>
      <c r="G958" s="171"/>
      <c r="H958" s="171"/>
      <c r="I958" s="171"/>
      <c r="J958" s="171"/>
      <c r="K958" s="171"/>
      <c r="L958" s="172"/>
      <c r="M958" s="563">
        <f>'AUSM FGD'!$M$106</f>
        <v>0</v>
      </c>
    </row>
    <row r="959" spans="2:15" ht="12.75" hidden="1" customHeight="1" outlineLevel="1">
      <c r="B959" s="392" t="str">
        <f>'HSH FGD'!$B$2</f>
        <v>The University of Texas Health Science Center at Houston</v>
      </c>
      <c r="D959" s="171"/>
      <c r="E959" s="171"/>
      <c r="F959" s="171"/>
      <c r="G959" s="171"/>
      <c r="H959" s="171"/>
      <c r="I959" s="171"/>
      <c r="J959" s="171"/>
      <c r="K959" s="171"/>
      <c r="L959" s="172"/>
      <c r="M959" s="563">
        <f>'HSH FGD'!$M$106</f>
        <v>0</v>
      </c>
    </row>
    <row r="960" spans="2:15" ht="12.75" hidden="1" customHeight="1" outlineLevel="1">
      <c r="B960" s="392" t="str">
        <f>'HSSA FGD'!$B$2</f>
        <v>The University of Texas Health Science Center at San Antonio</v>
      </c>
      <c r="D960" s="171"/>
      <c r="E960" s="171"/>
      <c r="F960" s="171"/>
      <c r="G960" s="171"/>
      <c r="H960" s="171"/>
      <c r="I960" s="171"/>
      <c r="J960" s="171"/>
      <c r="K960" s="171"/>
      <c r="L960" s="172"/>
      <c r="M960" s="563">
        <f>'HSSA FGD'!$M$106</f>
        <v>0</v>
      </c>
    </row>
    <row r="961" spans="1:15" ht="12.75" hidden="1" customHeight="1" outlineLevel="1">
      <c r="B961" s="392" t="str">
        <f>'MBG FGD'!$B$2</f>
        <v>The University of Texas Medical Branch at Galveston</v>
      </c>
      <c r="D961" s="171"/>
      <c r="E961" s="171"/>
      <c r="F961" s="171"/>
      <c r="G961" s="171"/>
      <c r="H961" s="171"/>
      <c r="I961" s="171"/>
      <c r="J961" s="171"/>
      <c r="K961" s="171"/>
      <c r="L961" s="172"/>
      <c r="M961" s="563">
        <f>'MBG FGD'!$M$106</f>
        <v>0</v>
      </c>
    </row>
    <row r="962" spans="1:15" ht="12.75" hidden="1" customHeight="1" outlineLevel="1">
      <c r="B962" s="392" t="str">
        <f>'MDA FGD'!$B$2</f>
        <v>The University of Texas M.D. Anderson Cancer Center</v>
      </c>
      <c r="D962" s="171"/>
      <c r="E962" s="171"/>
      <c r="F962" s="171"/>
      <c r="G962" s="171"/>
      <c r="H962" s="171"/>
      <c r="I962" s="171"/>
      <c r="J962" s="171"/>
      <c r="K962" s="171"/>
      <c r="L962" s="172"/>
      <c r="M962" s="563">
        <f>'MDA FGD'!$M$106</f>
        <v>0</v>
      </c>
    </row>
    <row r="963" spans="1:15" ht="12.75" hidden="1" customHeight="1" outlineLevel="1">
      <c r="B963" s="392" t="str">
        <f>'RGVM FGD'!$B$2</f>
        <v>The University of Texas Rio Grande Valley Medical School (M)</v>
      </c>
      <c r="D963" s="171"/>
      <c r="E963" s="171"/>
      <c r="F963" s="171"/>
      <c r="G963" s="171"/>
      <c r="H963" s="171"/>
      <c r="I963" s="171"/>
      <c r="J963" s="171"/>
      <c r="K963" s="171"/>
      <c r="L963" s="172"/>
      <c r="M963" s="563">
        <f>'RGVM FGD'!$M$106</f>
        <v>0</v>
      </c>
    </row>
    <row r="964" spans="1:15" ht="12.75" hidden="1" customHeight="1" outlineLevel="1">
      <c r="B964" s="392" t="str">
        <f>'SWM FGD'!$B$2</f>
        <v>The University of Texas Southwestern Medical Center</v>
      </c>
      <c r="D964" s="171"/>
      <c r="E964" s="171"/>
      <c r="F964" s="171"/>
      <c r="G964" s="171"/>
      <c r="H964" s="171"/>
      <c r="I964" s="171"/>
      <c r="J964" s="171"/>
      <c r="K964" s="171"/>
      <c r="L964" s="172"/>
      <c r="M964" s="563">
        <f>'SWM FGD'!$M$106</f>
        <v>0</v>
      </c>
    </row>
    <row r="965" spans="1:15" ht="12.75" hidden="1" customHeight="1" outlineLevel="1">
      <c r="B965" s="392" t="str">
        <f>'TAMHSC FGD'!$B$2</f>
        <v>Texas A&amp;M University System Health Science Center</v>
      </c>
      <c r="D965" s="171"/>
      <c r="E965" s="171"/>
      <c r="F965" s="171"/>
      <c r="G965" s="171"/>
      <c r="H965" s="171"/>
      <c r="I965" s="171"/>
      <c r="J965" s="171"/>
      <c r="K965" s="171"/>
      <c r="L965" s="172"/>
      <c r="M965" s="563">
        <f>'TAMHSC FGD'!$M$106</f>
        <v>0</v>
      </c>
    </row>
    <row r="966" spans="1:15" ht="12.75" hidden="1" customHeight="1" outlineLevel="1">
      <c r="B966" s="392" t="str">
        <f>'THC FGD'!$B$2</f>
        <v>The University of Texas Health Science Center at Tyler</v>
      </c>
      <c r="D966" s="171"/>
      <c r="E966" s="171"/>
      <c r="F966" s="171"/>
      <c r="G966" s="171"/>
      <c r="H966" s="171"/>
      <c r="I966" s="171"/>
      <c r="J966" s="171"/>
      <c r="K966" s="171"/>
      <c r="L966" s="172"/>
      <c r="M966" s="563">
        <f>'THC FGD'!$M$106</f>
        <v>0</v>
      </c>
    </row>
    <row r="967" spans="1:15" ht="12.75" hidden="1" customHeight="1" outlineLevel="1">
      <c r="B967" s="392" t="str">
        <f>'TTUHSC FGD'!$B$2</f>
        <v>Texas Tech University Health Sciences Center</v>
      </c>
      <c r="D967" s="171"/>
      <c r="E967" s="171"/>
      <c r="F967" s="171"/>
      <c r="G967" s="171"/>
      <c r="H967" s="171"/>
      <c r="I967" s="171"/>
      <c r="J967" s="171"/>
      <c r="K967" s="171"/>
      <c r="L967" s="172"/>
      <c r="M967" s="563">
        <f>'TTUHSC FGD'!$M$106</f>
        <v>0</v>
      </c>
    </row>
    <row r="968" spans="1:15" ht="12.75" hidden="1" customHeight="1" outlineLevel="1">
      <c r="B968" s="392" t="str">
        <f>'TTUHSCEP FGD'!$B$2</f>
        <v>Texas Tech University Health Sciences Center at El Paso</v>
      </c>
      <c r="D968" s="171"/>
      <c r="E968" s="171"/>
      <c r="F968" s="171"/>
      <c r="G968" s="171"/>
      <c r="H968" s="171"/>
      <c r="I968" s="171"/>
      <c r="J968" s="171"/>
      <c r="K968" s="171"/>
      <c r="L968" s="172"/>
      <c r="M968" s="563">
        <f>'TTUHSCEP FGD'!$M$106</f>
        <v>0</v>
      </c>
    </row>
    <row r="969" spans="1:15" ht="12.75" hidden="1" customHeight="1" outlineLevel="1">
      <c r="B969" s="392" t="str">
        <f>'UNTHSC FGD'!$B$2</f>
        <v>University of North Texas Health Science Center at Fort Worth</v>
      </c>
      <c r="D969" s="171"/>
      <c r="E969" s="171"/>
      <c r="F969" s="171"/>
      <c r="G969" s="171"/>
      <c r="H969" s="171"/>
      <c r="I969" s="171"/>
      <c r="J969" s="171"/>
      <c r="K969" s="171"/>
      <c r="L969" s="172"/>
      <c r="M969" s="563">
        <f>'UNTHSC FGD'!$M$106</f>
        <v>0</v>
      </c>
    </row>
    <row r="970" spans="1:15" s="171" customFormat="1" ht="12.75" customHeight="1" collapsed="1">
      <c r="A970" s="147"/>
      <c r="B970" s="149" t="s">
        <v>91</v>
      </c>
      <c r="C970" s="149"/>
      <c r="M970" s="361">
        <f>SUM(M958:M969)</f>
        <v>0</v>
      </c>
      <c r="O970" s="352"/>
    </row>
    <row r="979" spans="1:14" s="392" customFormat="1">
      <c r="A979" s="389"/>
      <c r="B979" s="390" t="s">
        <v>210</v>
      </c>
      <c r="C979" s="390"/>
      <c r="D979" s="391"/>
      <c r="E979" s="391"/>
      <c r="F979" s="391"/>
      <c r="G979" s="391"/>
      <c r="H979" s="391"/>
      <c r="I979" s="391"/>
      <c r="J979" s="391"/>
      <c r="K979" s="391"/>
      <c r="M979" s="393"/>
      <c r="N979" s="389"/>
    </row>
    <row r="980" spans="1:14" s="392" customFormat="1">
      <c r="A980" s="394"/>
      <c r="B980" s="395"/>
      <c r="C980" s="395"/>
      <c r="D980" s="395"/>
      <c r="E980" s="395"/>
      <c r="F980" s="395"/>
      <c r="G980" s="395"/>
      <c r="H980" s="395"/>
      <c r="I980" s="395"/>
      <c r="J980" s="395"/>
      <c r="K980" s="395"/>
      <c r="L980" s="395"/>
      <c r="M980" s="395"/>
      <c r="N980" s="389"/>
    </row>
    <row r="981" spans="1:14" s="392" customFormat="1">
      <c r="A981" s="394">
        <v>8</v>
      </c>
      <c r="B981" s="390" t="s">
        <v>0</v>
      </c>
      <c r="C981" s="390"/>
      <c r="N981" s="389"/>
    </row>
    <row r="982" spans="1:14" s="392" customFormat="1">
      <c r="A982" s="394">
        <v>9</v>
      </c>
      <c r="B982" s="392" t="s">
        <v>1</v>
      </c>
      <c r="D982" s="392">
        <f>'Smmy FGD'!D22</f>
        <v>1733136771</v>
      </c>
      <c r="E982" s="392">
        <f>'Smmy FGD'!E22</f>
        <v>0</v>
      </c>
      <c r="F982" s="392">
        <f>'Smmy FGD'!F22</f>
        <v>0</v>
      </c>
      <c r="G982" s="392">
        <f>'Smmy FGD'!G22</f>
        <v>12127258</v>
      </c>
      <c r="H982" s="392">
        <f>'Smmy FGD'!H22</f>
        <v>0</v>
      </c>
      <c r="I982" s="392">
        <f>'Smmy FGD'!I22</f>
        <v>0</v>
      </c>
      <c r="J982" s="392">
        <f>'Smmy FGD'!J22</f>
        <v>0</v>
      </c>
      <c r="K982" s="392">
        <f>'Smmy FGD'!K22</f>
        <v>0</v>
      </c>
      <c r="L982" s="392">
        <f>'Smmy FGD'!L22</f>
        <v>0</v>
      </c>
      <c r="M982" s="392">
        <f>'Smmy FGD'!M22</f>
        <v>1745264029</v>
      </c>
      <c r="N982" s="389"/>
    </row>
    <row r="983" spans="1:14" s="392" customFormat="1">
      <c r="A983" s="394">
        <v>10</v>
      </c>
      <c r="B983" s="392" t="s">
        <v>2</v>
      </c>
      <c r="D983" s="396">
        <f>'Smmy FGD'!D35</f>
        <v>29968467</v>
      </c>
      <c r="E983" s="396">
        <f>'Smmy FGD'!E35</f>
        <v>9352966</v>
      </c>
      <c r="F983" s="396">
        <f>'Smmy FGD'!F35</f>
        <v>0</v>
      </c>
      <c r="G983" s="396">
        <f>'Smmy FGD'!G35</f>
        <v>141182850</v>
      </c>
      <c r="H983" s="396">
        <f>'Smmy FGD'!H35</f>
        <v>0</v>
      </c>
      <c r="I983" s="396">
        <f>'Smmy FGD'!I35</f>
        <v>0</v>
      </c>
      <c r="J983" s="396">
        <f>'Smmy FGD'!J35</f>
        <v>0</v>
      </c>
      <c r="K983" s="396">
        <f>'Smmy FGD'!K35</f>
        <v>0</v>
      </c>
      <c r="L983" s="396">
        <f>'Smmy FGD'!L35</f>
        <v>0</v>
      </c>
      <c r="M983" s="396">
        <f>'Smmy FGD'!M35</f>
        <v>180504283</v>
      </c>
      <c r="N983" s="389"/>
    </row>
    <row r="984" spans="1:14" s="392" customFormat="1">
      <c r="A984" s="394">
        <v>11</v>
      </c>
      <c r="B984" s="392" t="s">
        <v>1347</v>
      </c>
      <c r="D984" s="392">
        <f>'Smmy FGD'!D48</f>
        <v>0</v>
      </c>
      <c r="E984" s="392">
        <f>'Smmy FGD'!E48</f>
        <v>0</v>
      </c>
      <c r="F984" s="392">
        <f>'Smmy FGD'!F48</f>
        <v>0</v>
      </c>
      <c r="G984" s="392">
        <f>'Smmy FGD'!G48</f>
        <v>0</v>
      </c>
      <c r="H984" s="392">
        <f>'Smmy FGD'!H48</f>
        <v>0</v>
      </c>
      <c r="I984" s="392">
        <f>'Smmy FGD'!I48</f>
        <v>0</v>
      </c>
      <c r="J984" s="392">
        <f>'Smmy FGD'!J48</f>
        <v>0</v>
      </c>
      <c r="K984" s="392">
        <f>'Smmy FGD'!K48</f>
        <v>0</v>
      </c>
      <c r="L984" s="392">
        <f>'Smmy FGD'!L48</f>
        <v>0</v>
      </c>
      <c r="M984" s="392">
        <f>'Smmy FGD'!M48</f>
        <v>0</v>
      </c>
      <c r="N984" s="389"/>
    </row>
    <row r="985" spans="1:14" s="392" customFormat="1">
      <c r="A985" s="394">
        <v>12</v>
      </c>
      <c r="B985" s="392" t="s">
        <v>1298</v>
      </c>
      <c r="D985" s="392">
        <f>'Smmy FGD'!D61</f>
        <v>46698327</v>
      </c>
      <c r="E985" s="392">
        <f>'Smmy FGD'!E61</f>
        <v>0</v>
      </c>
      <c r="F985" s="392">
        <f>'Smmy FGD'!F61</f>
        <v>0</v>
      </c>
      <c r="G985" s="392">
        <f>'Smmy FGD'!G61</f>
        <v>0</v>
      </c>
      <c r="H985" s="392">
        <f>'Smmy FGD'!H61</f>
        <v>0</v>
      </c>
      <c r="I985" s="392">
        <f>'Smmy FGD'!I61</f>
        <v>0</v>
      </c>
      <c r="J985" s="392">
        <f>'Smmy FGD'!J61</f>
        <v>0</v>
      </c>
      <c r="K985" s="392">
        <f>'Smmy FGD'!K61</f>
        <v>0</v>
      </c>
      <c r="L985" s="392">
        <f>'Smmy FGD'!L61</f>
        <v>0</v>
      </c>
      <c r="M985" s="392">
        <f>'Smmy FGD'!M61</f>
        <v>46698327</v>
      </c>
      <c r="N985" s="389"/>
    </row>
    <row r="986" spans="1:14" s="392" customFormat="1">
      <c r="A986" s="394">
        <v>13</v>
      </c>
      <c r="B986" s="392" t="s">
        <v>46</v>
      </c>
      <c r="D986" s="392">
        <f>'Smmy FGD'!D74</f>
        <v>24977265</v>
      </c>
      <c r="E986" s="392">
        <f>'Smmy FGD'!E74</f>
        <v>18599332</v>
      </c>
      <c r="F986" s="392">
        <f>'Smmy FGD'!F74</f>
        <v>0</v>
      </c>
      <c r="G986" s="392">
        <f>'Smmy FGD'!G74</f>
        <v>0</v>
      </c>
      <c r="H986" s="392">
        <f>'Smmy FGD'!H74</f>
        <v>0</v>
      </c>
      <c r="I986" s="392">
        <f>'Smmy FGD'!I74</f>
        <v>0</v>
      </c>
      <c r="J986" s="392">
        <f>'Smmy FGD'!J74</f>
        <v>0</v>
      </c>
      <c r="K986" s="392">
        <f>'Smmy FGD'!K74</f>
        <v>0</v>
      </c>
      <c r="L986" s="392">
        <f>'Smmy FGD'!L74</f>
        <v>0</v>
      </c>
      <c r="M986" s="392">
        <f>'Smmy FGD'!M74</f>
        <v>43576597</v>
      </c>
      <c r="N986" s="389"/>
    </row>
    <row r="987" spans="1:14" s="392" customFormat="1">
      <c r="A987" s="394">
        <v>14</v>
      </c>
      <c r="B987" s="397" t="s">
        <v>3</v>
      </c>
      <c r="C987" s="397"/>
      <c r="D987" s="404">
        <f t="shared" ref="D987:M987" si="70">SUM(D982:D986)</f>
        <v>1834780830</v>
      </c>
      <c r="E987" s="404">
        <f t="shared" si="70"/>
        <v>27952298</v>
      </c>
      <c r="F987" s="404">
        <f t="shared" si="70"/>
        <v>0</v>
      </c>
      <c r="G987" s="404">
        <f t="shared" si="70"/>
        <v>153310108</v>
      </c>
      <c r="H987" s="404">
        <f t="shared" si="70"/>
        <v>0</v>
      </c>
      <c r="I987" s="404">
        <f t="shared" si="70"/>
        <v>0</v>
      </c>
      <c r="J987" s="404">
        <f t="shared" si="70"/>
        <v>0</v>
      </c>
      <c r="K987" s="404">
        <f t="shared" si="70"/>
        <v>0</v>
      </c>
      <c r="L987" s="404">
        <f t="shared" si="70"/>
        <v>0</v>
      </c>
      <c r="M987" s="404">
        <f t="shared" si="70"/>
        <v>2016043236</v>
      </c>
      <c r="N987" s="389"/>
    </row>
    <row r="988" spans="1:14" s="392" customFormat="1">
      <c r="A988" s="394">
        <v>15</v>
      </c>
      <c r="L988" s="393"/>
      <c r="N988" s="389"/>
    </row>
    <row r="989" spans="1:14" s="392" customFormat="1">
      <c r="A989" s="394">
        <v>16</v>
      </c>
      <c r="B989" s="390" t="s">
        <v>4</v>
      </c>
      <c r="C989" s="390"/>
      <c r="L989" s="393"/>
      <c r="N989" s="389"/>
    </row>
    <row r="990" spans="1:14" s="50" customFormat="1" ht="13.5" customHeight="1">
      <c r="A990" s="293"/>
      <c r="B990" s="536" t="s">
        <v>995</v>
      </c>
      <c r="C990" s="536"/>
      <c r="D990" s="356">
        <f t="shared" ref="D990:E990" si="71">D995-SUM(D991:D994)</f>
        <v>142633468</v>
      </c>
      <c r="E990" s="356">
        <f t="shared" si="71"/>
        <v>151046681</v>
      </c>
      <c r="F990" s="356">
        <f t="shared" ref="F990:M990" si="72">F995-SUM(F991:F994)</f>
        <v>0</v>
      </c>
      <c r="G990" s="356">
        <f t="shared" si="72"/>
        <v>0</v>
      </c>
      <c r="H990" s="356">
        <f t="shared" si="72"/>
        <v>0</v>
      </c>
      <c r="I990" s="356">
        <f t="shared" si="72"/>
        <v>0</v>
      </c>
      <c r="J990" s="356">
        <f t="shared" si="72"/>
        <v>0</v>
      </c>
      <c r="K990" s="356">
        <f t="shared" si="72"/>
        <v>0</v>
      </c>
      <c r="L990" s="356">
        <f t="shared" si="72"/>
        <v>0</v>
      </c>
      <c r="M990" s="356">
        <f t="shared" si="72"/>
        <v>293680149</v>
      </c>
      <c r="N990" s="293"/>
    </row>
    <row r="991" spans="1:14" s="50" customFormat="1" ht="12.75" customHeight="1">
      <c r="A991" s="293"/>
      <c r="B991" s="51" t="s">
        <v>638</v>
      </c>
      <c r="C991" s="51"/>
      <c r="D991" s="355">
        <f>D115</f>
        <v>-26619784</v>
      </c>
      <c r="E991" s="355">
        <f t="shared" ref="E991:M991" si="73">E115</f>
        <v>-74085</v>
      </c>
      <c r="F991" s="355">
        <f t="shared" si="73"/>
        <v>0</v>
      </c>
      <c r="G991" s="355">
        <f t="shared" si="73"/>
        <v>0</v>
      </c>
      <c r="H991" s="355">
        <f t="shared" si="73"/>
        <v>0</v>
      </c>
      <c r="I991" s="355">
        <f t="shared" si="73"/>
        <v>0</v>
      </c>
      <c r="J991" s="355">
        <f t="shared" si="73"/>
        <v>0</v>
      </c>
      <c r="K991" s="355">
        <f t="shared" si="73"/>
        <v>0</v>
      </c>
      <c r="L991" s="355">
        <f t="shared" si="73"/>
        <v>0</v>
      </c>
      <c r="M991" s="355">
        <f t="shared" si="73"/>
        <v>-26693869</v>
      </c>
      <c r="N991" s="293"/>
    </row>
    <row r="992" spans="1:14" s="50" customFormat="1" ht="12.75" customHeight="1">
      <c r="A992" s="293"/>
      <c r="B992" s="51" t="s">
        <v>639</v>
      </c>
      <c r="C992" s="51"/>
      <c r="D992" s="355">
        <f>D128</f>
        <v>-1379147</v>
      </c>
      <c r="E992" s="355">
        <f t="shared" ref="E992:M992" si="74">E128</f>
        <v>-408479</v>
      </c>
      <c r="F992" s="355">
        <f t="shared" si="74"/>
        <v>0</v>
      </c>
      <c r="G992" s="355">
        <f t="shared" si="74"/>
        <v>0</v>
      </c>
      <c r="H992" s="355">
        <f t="shared" si="74"/>
        <v>0</v>
      </c>
      <c r="I992" s="355">
        <f t="shared" si="74"/>
        <v>0</v>
      </c>
      <c r="J992" s="355">
        <f t="shared" si="74"/>
        <v>0</v>
      </c>
      <c r="K992" s="355">
        <f t="shared" si="74"/>
        <v>0</v>
      </c>
      <c r="L992" s="355">
        <f t="shared" si="74"/>
        <v>0</v>
      </c>
      <c r="M992" s="355">
        <f t="shared" si="74"/>
        <v>-1787626</v>
      </c>
      <c r="N992" s="293"/>
    </row>
    <row r="993" spans="1:14" s="50" customFormat="1">
      <c r="A993" s="293"/>
      <c r="B993" s="51" t="s">
        <v>640</v>
      </c>
      <c r="C993" s="51"/>
      <c r="D993" s="355">
        <f>D141</f>
        <v>0</v>
      </c>
      <c r="E993" s="355">
        <f t="shared" ref="E993:M993" si="75">E141</f>
        <v>0</v>
      </c>
      <c r="F993" s="355">
        <f t="shared" si="75"/>
        <v>0</v>
      </c>
      <c r="G993" s="355">
        <f t="shared" si="75"/>
        <v>0</v>
      </c>
      <c r="H993" s="355">
        <f t="shared" si="75"/>
        <v>0</v>
      </c>
      <c r="I993" s="355">
        <f t="shared" si="75"/>
        <v>0</v>
      </c>
      <c r="J993" s="355">
        <f t="shared" si="75"/>
        <v>0</v>
      </c>
      <c r="K993" s="355">
        <f t="shared" si="75"/>
        <v>0</v>
      </c>
      <c r="L993" s="355">
        <f t="shared" si="75"/>
        <v>0</v>
      </c>
      <c r="M993" s="355">
        <f t="shared" si="75"/>
        <v>0</v>
      </c>
      <c r="N993" s="293"/>
    </row>
    <row r="994" spans="1:14" s="50" customFormat="1">
      <c r="A994" s="293"/>
      <c r="B994" s="51" t="s">
        <v>641</v>
      </c>
      <c r="C994" s="51"/>
      <c r="D994" s="355">
        <f>D154</f>
        <v>0</v>
      </c>
      <c r="E994" s="355">
        <f t="shared" ref="E994:M994" si="76">E154</f>
        <v>0</v>
      </c>
      <c r="F994" s="355">
        <f t="shared" si="76"/>
        <v>0</v>
      </c>
      <c r="G994" s="355">
        <f t="shared" si="76"/>
        <v>0</v>
      </c>
      <c r="H994" s="355">
        <f t="shared" si="76"/>
        <v>0</v>
      </c>
      <c r="I994" s="355">
        <f t="shared" si="76"/>
        <v>0</v>
      </c>
      <c r="J994" s="355">
        <f t="shared" si="76"/>
        <v>0</v>
      </c>
      <c r="K994" s="355">
        <f t="shared" si="76"/>
        <v>0</v>
      </c>
      <c r="L994" s="355">
        <f t="shared" si="76"/>
        <v>0</v>
      </c>
      <c r="M994" s="355">
        <f t="shared" si="76"/>
        <v>0</v>
      </c>
      <c r="N994" s="293"/>
    </row>
    <row r="995" spans="1:14" s="50" customFormat="1" ht="12.75" customHeight="1">
      <c r="A995" s="293"/>
      <c r="B995" s="536" t="s">
        <v>642</v>
      </c>
      <c r="C995" s="179"/>
      <c r="D995" s="541">
        <f>D167</f>
        <v>114634537</v>
      </c>
      <c r="E995" s="541">
        <f t="shared" ref="E995:M995" si="77">E167</f>
        <v>150564117</v>
      </c>
      <c r="F995" s="541">
        <f t="shared" si="77"/>
        <v>0</v>
      </c>
      <c r="G995" s="541">
        <f t="shared" si="77"/>
        <v>0</v>
      </c>
      <c r="H995" s="541">
        <f t="shared" si="77"/>
        <v>0</v>
      </c>
      <c r="I995" s="541">
        <f t="shared" si="77"/>
        <v>0</v>
      </c>
      <c r="J995" s="541">
        <f t="shared" si="77"/>
        <v>0</v>
      </c>
      <c r="K995" s="541">
        <f t="shared" si="77"/>
        <v>0</v>
      </c>
      <c r="L995" s="541">
        <f t="shared" si="77"/>
        <v>0</v>
      </c>
      <c r="M995" s="541">
        <f t="shared" si="77"/>
        <v>265198654</v>
      </c>
      <c r="N995" s="293"/>
    </row>
    <row r="996" spans="1:14" s="50" customFormat="1" ht="12.75" customHeight="1">
      <c r="A996" s="293"/>
      <c r="B996" s="51" t="s">
        <v>643</v>
      </c>
      <c r="C996" s="180"/>
      <c r="D996" s="355">
        <f>D180</f>
        <v>0</v>
      </c>
      <c r="E996" s="355">
        <f t="shared" ref="E996:M996" si="78">E180</f>
        <v>0</v>
      </c>
      <c r="F996" s="355">
        <f t="shared" si="78"/>
        <v>0</v>
      </c>
      <c r="G996" s="355">
        <f t="shared" si="78"/>
        <v>0</v>
      </c>
      <c r="H996" s="355">
        <f t="shared" si="78"/>
        <v>0</v>
      </c>
      <c r="I996" s="355">
        <f t="shared" si="78"/>
        <v>0</v>
      </c>
      <c r="J996" s="355">
        <f t="shared" si="78"/>
        <v>0</v>
      </c>
      <c r="K996" s="355">
        <f t="shared" si="78"/>
        <v>0</v>
      </c>
      <c r="L996" s="355">
        <f t="shared" si="78"/>
        <v>0</v>
      </c>
      <c r="M996" s="355">
        <f t="shared" si="78"/>
        <v>0</v>
      </c>
      <c r="N996" s="293"/>
    </row>
    <row r="997" spans="1:14" s="50" customFormat="1" ht="12.75" customHeight="1">
      <c r="A997" s="293"/>
      <c r="B997" s="51" t="s">
        <v>644</v>
      </c>
      <c r="C997" s="180"/>
      <c r="D997" s="355">
        <f>D193</f>
        <v>0</v>
      </c>
      <c r="E997" s="355">
        <f t="shared" ref="E997:M997" si="79">E193</f>
        <v>0</v>
      </c>
      <c r="F997" s="355">
        <f t="shared" si="79"/>
        <v>0</v>
      </c>
      <c r="G997" s="355">
        <f t="shared" si="79"/>
        <v>0</v>
      </c>
      <c r="H997" s="355">
        <f t="shared" si="79"/>
        <v>0</v>
      </c>
      <c r="I997" s="355">
        <f t="shared" si="79"/>
        <v>0</v>
      </c>
      <c r="J997" s="355">
        <f t="shared" si="79"/>
        <v>0</v>
      </c>
      <c r="K997" s="355">
        <f t="shared" si="79"/>
        <v>0</v>
      </c>
      <c r="L997" s="355">
        <f t="shared" si="79"/>
        <v>0</v>
      </c>
      <c r="M997" s="355">
        <f t="shared" si="79"/>
        <v>0</v>
      </c>
      <c r="N997" s="293"/>
    </row>
    <row r="998" spans="1:14" s="50" customFormat="1" ht="12.75" customHeight="1">
      <c r="A998" s="293"/>
      <c r="B998" s="51" t="s">
        <v>645</v>
      </c>
      <c r="C998" s="180"/>
      <c r="D998" s="355">
        <f>D206</f>
        <v>-2736155</v>
      </c>
      <c r="E998" s="355">
        <f t="shared" ref="E998:M998" si="80">E206</f>
        <v>-2009379</v>
      </c>
      <c r="F998" s="355">
        <f t="shared" si="80"/>
        <v>0</v>
      </c>
      <c r="G998" s="355">
        <f t="shared" si="80"/>
        <v>0</v>
      </c>
      <c r="H998" s="355">
        <f t="shared" si="80"/>
        <v>0</v>
      </c>
      <c r="I998" s="355">
        <f t="shared" si="80"/>
        <v>0</v>
      </c>
      <c r="J998" s="355">
        <f t="shared" si="80"/>
        <v>0</v>
      </c>
      <c r="K998" s="355">
        <f t="shared" si="80"/>
        <v>0</v>
      </c>
      <c r="L998" s="355">
        <f t="shared" si="80"/>
        <v>0</v>
      </c>
      <c r="M998" s="355">
        <f t="shared" si="80"/>
        <v>-4745534</v>
      </c>
      <c r="N998" s="293"/>
    </row>
    <row r="999" spans="1:14" s="50" customFormat="1">
      <c r="A999" s="293"/>
      <c r="B999" s="51" t="s">
        <v>646</v>
      </c>
      <c r="C999" s="180"/>
      <c r="D999" s="355">
        <f>D219</f>
        <v>0</v>
      </c>
      <c r="E999" s="355">
        <f t="shared" ref="E999:M999" si="81">E219</f>
        <v>-8648</v>
      </c>
      <c r="F999" s="355">
        <f t="shared" si="81"/>
        <v>0</v>
      </c>
      <c r="G999" s="355">
        <f t="shared" si="81"/>
        <v>0</v>
      </c>
      <c r="H999" s="355">
        <f t="shared" si="81"/>
        <v>0</v>
      </c>
      <c r="I999" s="355">
        <f t="shared" si="81"/>
        <v>0</v>
      </c>
      <c r="J999" s="355">
        <f t="shared" si="81"/>
        <v>0</v>
      </c>
      <c r="K999" s="355">
        <f t="shared" si="81"/>
        <v>0</v>
      </c>
      <c r="L999" s="355">
        <f t="shared" si="81"/>
        <v>0</v>
      </c>
      <c r="M999" s="355">
        <f t="shared" si="81"/>
        <v>-8648</v>
      </c>
      <c r="N999" s="293"/>
    </row>
    <row r="1000" spans="1:14" s="50" customFormat="1">
      <c r="A1000" s="293"/>
      <c r="B1000" s="51" t="s">
        <v>647</v>
      </c>
      <c r="C1000" s="180"/>
      <c r="D1000" s="355">
        <f>D232</f>
        <v>-9117305</v>
      </c>
      <c r="E1000" s="355">
        <f t="shared" ref="E1000:M1000" si="82">E232</f>
        <v>-7724931</v>
      </c>
      <c r="F1000" s="355">
        <f t="shared" si="82"/>
        <v>0</v>
      </c>
      <c r="G1000" s="355">
        <f t="shared" si="82"/>
        <v>0</v>
      </c>
      <c r="H1000" s="355">
        <f t="shared" si="82"/>
        <v>0</v>
      </c>
      <c r="I1000" s="355">
        <f t="shared" si="82"/>
        <v>0</v>
      </c>
      <c r="J1000" s="355">
        <f t="shared" si="82"/>
        <v>0</v>
      </c>
      <c r="K1000" s="355">
        <f t="shared" si="82"/>
        <v>0</v>
      </c>
      <c r="L1000" s="355">
        <f t="shared" si="82"/>
        <v>0</v>
      </c>
      <c r="M1000" s="355">
        <f t="shared" si="82"/>
        <v>-16842236</v>
      </c>
      <c r="N1000" s="293"/>
    </row>
    <row r="1001" spans="1:14" s="50" customFormat="1" ht="12" customHeight="1">
      <c r="A1001" s="293"/>
      <c r="B1001" s="551" t="s">
        <v>37</v>
      </c>
      <c r="C1001" s="179"/>
      <c r="D1001" s="356">
        <f t="shared" ref="D1001" si="83">SUM(D995:D1000)</f>
        <v>102781077</v>
      </c>
      <c r="E1001" s="356">
        <f t="shared" ref="E1001:M1001" si="84">SUM(E995:E1000)</f>
        <v>140821159</v>
      </c>
      <c r="F1001" s="356">
        <f t="shared" si="84"/>
        <v>0</v>
      </c>
      <c r="G1001" s="356">
        <f t="shared" si="84"/>
        <v>0</v>
      </c>
      <c r="H1001" s="356">
        <f t="shared" si="84"/>
        <v>0</v>
      </c>
      <c r="I1001" s="356">
        <f t="shared" si="84"/>
        <v>0</v>
      </c>
      <c r="J1001" s="356">
        <f t="shared" si="84"/>
        <v>0</v>
      </c>
      <c r="K1001" s="356">
        <f t="shared" si="84"/>
        <v>0</v>
      </c>
      <c r="L1001" s="356">
        <f t="shared" si="84"/>
        <v>0</v>
      </c>
      <c r="M1001" s="356">
        <f t="shared" si="84"/>
        <v>243602236</v>
      </c>
      <c r="N1001" s="293"/>
    </row>
    <row r="1002" spans="1:14" s="50" customFormat="1" ht="16.5" customHeight="1">
      <c r="A1002" s="293"/>
      <c r="B1002" s="51"/>
      <c r="C1002" s="180"/>
      <c r="D1002" s="180"/>
      <c r="E1002" s="180"/>
      <c r="F1002" s="180"/>
      <c r="G1002" s="180"/>
      <c r="H1002" s="180"/>
      <c r="I1002" s="180"/>
      <c r="J1002" s="180"/>
      <c r="K1002" s="180"/>
      <c r="L1002" s="180"/>
      <c r="M1002" s="543"/>
      <c r="N1002" s="293"/>
    </row>
    <row r="1003" spans="1:14" s="50" customFormat="1" ht="12.75" customHeight="1">
      <c r="A1003" s="293"/>
      <c r="B1003" s="536" t="s">
        <v>1005</v>
      </c>
      <c r="C1003" s="536"/>
      <c r="D1003" s="356">
        <f t="shared" ref="D1003:L1003" si="85">D1008-SUM(D1004:D1007)</f>
        <v>823207</v>
      </c>
      <c r="E1003" s="356">
        <f t="shared" si="85"/>
        <v>56950701</v>
      </c>
      <c r="F1003" s="356">
        <f t="shared" si="85"/>
        <v>8825564</v>
      </c>
      <c r="G1003" s="356">
        <f t="shared" si="85"/>
        <v>0</v>
      </c>
      <c r="H1003" s="356">
        <f t="shared" si="85"/>
        <v>0</v>
      </c>
      <c r="I1003" s="356">
        <f t="shared" si="85"/>
        <v>0</v>
      </c>
      <c r="J1003" s="356">
        <f t="shared" si="85"/>
        <v>0</v>
      </c>
      <c r="K1003" s="356">
        <f t="shared" si="85"/>
        <v>0</v>
      </c>
      <c r="L1003" s="356">
        <f t="shared" si="85"/>
        <v>0</v>
      </c>
      <c r="M1003" s="356">
        <f t="shared" ref="M1003:M1014" si="86">D1003+E1003+F1003+G1003+H1003+I1003+J1003+K1003+L1003</f>
        <v>66599472</v>
      </c>
      <c r="N1003" s="293"/>
    </row>
    <row r="1004" spans="1:14" s="50" customFormat="1" ht="12.75" customHeight="1">
      <c r="A1004" s="293"/>
      <c r="B1004" s="51" t="s">
        <v>638</v>
      </c>
      <c r="C1004" s="51"/>
      <c r="D1004" s="355">
        <f>D272</f>
        <v>0</v>
      </c>
      <c r="E1004" s="355">
        <f t="shared" ref="E1004:M1004" si="87">E272</f>
        <v>0</v>
      </c>
      <c r="F1004" s="355">
        <f t="shared" si="87"/>
        <v>0</v>
      </c>
      <c r="G1004" s="355">
        <f t="shared" si="87"/>
        <v>0</v>
      </c>
      <c r="H1004" s="355">
        <f t="shared" si="87"/>
        <v>0</v>
      </c>
      <c r="I1004" s="355">
        <f t="shared" si="87"/>
        <v>0</v>
      </c>
      <c r="J1004" s="355">
        <f t="shared" si="87"/>
        <v>0</v>
      </c>
      <c r="K1004" s="355">
        <f t="shared" si="87"/>
        <v>0</v>
      </c>
      <c r="L1004" s="355">
        <f t="shared" si="87"/>
        <v>0</v>
      </c>
      <c r="M1004" s="355">
        <f t="shared" si="87"/>
        <v>0</v>
      </c>
      <c r="N1004" s="293"/>
    </row>
    <row r="1005" spans="1:14" s="50" customFormat="1">
      <c r="A1005" s="293"/>
      <c r="B1005" s="51" t="s">
        <v>639</v>
      </c>
      <c r="C1005" s="51"/>
      <c r="D1005" s="355">
        <f>D285</f>
        <v>0</v>
      </c>
      <c r="E1005" s="355">
        <f t="shared" ref="E1005:M1005" si="88">E285</f>
        <v>0</v>
      </c>
      <c r="F1005" s="355">
        <f t="shared" si="88"/>
        <v>0</v>
      </c>
      <c r="G1005" s="355">
        <f t="shared" si="88"/>
        <v>0</v>
      </c>
      <c r="H1005" s="355">
        <f t="shared" si="88"/>
        <v>0</v>
      </c>
      <c r="I1005" s="355">
        <f t="shared" si="88"/>
        <v>0</v>
      </c>
      <c r="J1005" s="355">
        <f t="shared" si="88"/>
        <v>0</v>
      </c>
      <c r="K1005" s="355">
        <f t="shared" si="88"/>
        <v>0</v>
      </c>
      <c r="L1005" s="355">
        <f t="shared" si="88"/>
        <v>0</v>
      </c>
      <c r="M1005" s="355">
        <f t="shared" si="88"/>
        <v>0</v>
      </c>
      <c r="N1005" s="293"/>
    </row>
    <row r="1006" spans="1:14" s="50" customFormat="1">
      <c r="A1006" s="293"/>
      <c r="B1006" s="51" t="s">
        <v>640</v>
      </c>
      <c r="C1006" s="51"/>
      <c r="D1006" s="355">
        <f>D298</f>
        <v>0</v>
      </c>
      <c r="E1006" s="355">
        <f t="shared" ref="E1006:M1006" si="89">E298</f>
        <v>0</v>
      </c>
      <c r="F1006" s="355">
        <f t="shared" si="89"/>
        <v>0</v>
      </c>
      <c r="G1006" s="355">
        <f t="shared" si="89"/>
        <v>0</v>
      </c>
      <c r="H1006" s="355">
        <f t="shared" si="89"/>
        <v>0</v>
      </c>
      <c r="I1006" s="355">
        <f t="shared" si="89"/>
        <v>0</v>
      </c>
      <c r="J1006" s="355">
        <f t="shared" si="89"/>
        <v>0</v>
      </c>
      <c r="K1006" s="355">
        <f t="shared" si="89"/>
        <v>0</v>
      </c>
      <c r="L1006" s="355">
        <f t="shared" si="89"/>
        <v>0</v>
      </c>
      <c r="M1006" s="355">
        <f t="shared" si="89"/>
        <v>0</v>
      </c>
      <c r="N1006" s="293"/>
    </row>
    <row r="1007" spans="1:14" s="50" customFormat="1">
      <c r="A1007" s="293"/>
      <c r="B1007" s="51" t="s">
        <v>641</v>
      </c>
      <c r="C1007" s="51"/>
      <c r="D1007" s="355">
        <f>D311</f>
        <v>0</v>
      </c>
      <c r="E1007" s="355">
        <f t="shared" ref="E1007:M1007" si="90">E311</f>
        <v>0</v>
      </c>
      <c r="F1007" s="355">
        <f t="shared" si="90"/>
        <v>0</v>
      </c>
      <c r="G1007" s="355">
        <f t="shared" si="90"/>
        <v>0</v>
      </c>
      <c r="H1007" s="355">
        <f t="shared" si="90"/>
        <v>0</v>
      </c>
      <c r="I1007" s="355">
        <f t="shared" si="90"/>
        <v>0</v>
      </c>
      <c r="J1007" s="355">
        <f t="shared" si="90"/>
        <v>0</v>
      </c>
      <c r="K1007" s="355">
        <f t="shared" si="90"/>
        <v>0</v>
      </c>
      <c r="L1007" s="355">
        <f t="shared" si="90"/>
        <v>0</v>
      </c>
      <c r="M1007" s="355">
        <f t="shared" si="90"/>
        <v>0</v>
      </c>
      <c r="N1007" s="293"/>
    </row>
    <row r="1008" spans="1:14" s="50" customFormat="1">
      <c r="A1008" s="293"/>
      <c r="B1008" s="536" t="s">
        <v>648</v>
      </c>
      <c r="C1008" s="179"/>
      <c r="D1008" s="541">
        <f>D324</f>
        <v>823207</v>
      </c>
      <c r="E1008" s="541">
        <f t="shared" ref="E1008:M1008" si="91">E324</f>
        <v>56950701</v>
      </c>
      <c r="F1008" s="541">
        <f t="shared" si="91"/>
        <v>8825564</v>
      </c>
      <c r="G1008" s="541">
        <f t="shared" si="91"/>
        <v>0</v>
      </c>
      <c r="H1008" s="541">
        <f t="shared" si="91"/>
        <v>0</v>
      </c>
      <c r="I1008" s="541">
        <f t="shared" si="91"/>
        <v>0</v>
      </c>
      <c r="J1008" s="541">
        <f t="shared" si="91"/>
        <v>0</v>
      </c>
      <c r="K1008" s="541">
        <f t="shared" si="91"/>
        <v>0</v>
      </c>
      <c r="L1008" s="541">
        <f t="shared" si="91"/>
        <v>0</v>
      </c>
      <c r="M1008" s="541">
        <f t="shared" si="91"/>
        <v>66599472</v>
      </c>
      <c r="N1008" s="293"/>
    </row>
    <row r="1009" spans="1:21" s="50" customFormat="1">
      <c r="A1009" s="293"/>
      <c r="B1009" s="51" t="s">
        <v>643</v>
      </c>
      <c r="C1009" s="180"/>
      <c r="D1009" s="355">
        <f>D337</f>
        <v>0</v>
      </c>
      <c r="E1009" s="355">
        <f t="shared" ref="E1009:M1009" si="92">E337</f>
        <v>0</v>
      </c>
      <c r="F1009" s="355">
        <f t="shared" si="92"/>
        <v>0</v>
      </c>
      <c r="G1009" s="355">
        <f t="shared" si="92"/>
        <v>0</v>
      </c>
      <c r="H1009" s="355">
        <f t="shared" si="92"/>
        <v>0</v>
      </c>
      <c r="I1009" s="355">
        <f t="shared" si="92"/>
        <v>0</v>
      </c>
      <c r="J1009" s="355">
        <f t="shared" si="92"/>
        <v>0</v>
      </c>
      <c r="K1009" s="355">
        <f t="shared" si="92"/>
        <v>0</v>
      </c>
      <c r="L1009" s="355">
        <f t="shared" si="92"/>
        <v>0</v>
      </c>
      <c r="M1009" s="355">
        <f t="shared" si="92"/>
        <v>0</v>
      </c>
      <c r="N1009" s="293"/>
    </row>
    <row r="1010" spans="1:21" s="50" customFormat="1">
      <c r="A1010" s="293"/>
      <c r="B1010" s="51" t="s">
        <v>644</v>
      </c>
      <c r="C1010" s="180"/>
      <c r="D1010" s="355">
        <f>D350</f>
        <v>0</v>
      </c>
      <c r="E1010" s="355">
        <f t="shared" ref="E1010:M1010" si="93">E350</f>
        <v>0</v>
      </c>
      <c r="F1010" s="355">
        <f t="shared" si="93"/>
        <v>0</v>
      </c>
      <c r="G1010" s="355">
        <f t="shared" si="93"/>
        <v>0</v>
      </c>
      <c r="H1010" s="355">
        <f t="shared" si="93"/>
        <v>0</v>
      </c>
      <c r="I1010" s="355">
        <f t="shared" si="93"/>
        <v>0</v>
      </c>
      <c r="J1010" s="355">
        <f t="shared" si="93"/>
        <v>0</v>
      </c>
      <c r="K1010" s="355">
        <f t="shared" si="93"/>
        <v>0</v>
      </c>
      <c r="L1010" s="355">
        <f t="shared" si="93"/>
        <v>0</v>
      </c>
      <c r="M1010" s="355">
        <f t="shared" si="93"/>
        <v>0</v>
      </c>
      <c r="N1010" s="293"/>
    </row>
    <row r="1011" spans="1:21" s="50" customFormat="1">
      <c r="A1011" s="293"/>
      <c r="B1011" s="51" t="s">
        <v>645</v>
      </c>
      <c r="C1011" s="180"/>
      <c r="D1011" s="355">
        <f>D363</f>
        <v>-133148</v>
      </c>
      <c r="E1011" s="355">
        <f t="shared" ref="E1011:M1011" si="94">E363</f>
        <v>-1636382</v>
      </c>
      <c r="F1011" s="355">
        <f t="shared" si="94"/>
        <v>-37363</v>
      </c>
      <c r="G1011" s="355">
        <f t="shared" si="94"/>
        <v>0</v>
      </c>
      <c r="H1011" s="355">
        <f t="shared" si="94"/>
        <v>0</v>
      </c>
      <c r="I1011" s="355">
        <f t="shared" si="94"/>
        <v>0</v>
      </c>
      <c r="J1011" s="355">
        <f t="shared" si="94"/>
        <v>0</v>
      </c>
      <c r="K1011" s="355">
        <f t="shared" si="94"/>
        <v>0</v>
      </c>
      <c r="L1011" s="355">
        <f t="shared" si="94"/>
        <v>0</v>
      </c>
      <c r="M1011" s="355">
        <f t="shared" si="94"/>
        <v>-1806893</v>
      </c>
      <c r="N1011" s="293"/>
    </row>
    <row r="1012" spans="1:21" s="50" customFormat="1">
      <c r="A1012" s="293"/>
      <c r="B1012" s="51" t="s">
        <v>646</v>
      </c>
      <c r="C1012" s="180"/>
      <c r="D1012" s="355">
        <f>D376</f>
        <v>0</v>
      </c>
      <c r="E1012" s="355">
        <f t="shared" ref="E1012:M1012" si="95">E376</f>
        <v>-2573</v>
      </c>
      <c r="F1012" s="355">
        <f t="shared" si="95"/>
        <v>0</v>
      </c>
      <c r="G1012" s="355">
        <f t="shared" si="95"/>
        <v>0</v>
      </c>
      <c r="H1012" s="355">
        <f t="shared" si="95"/>
        <v>0</v>
      </c>
      <c r="I1012" s="355">
        <f t="shared" si="95"/>
        <v>0</v>
      </c>
      <c r="J1012" s="355">
        <f t="shared" si="95"/>
        <v>0</v>
      </c>
      <c r="K1012" s="355">
        <f t="shared" si="95"/>
        <v>0</v>
      </c>
      <c r="L1012" s="355">
        <f t="shared" si="95"/>
        <v>0</v>
      </c>
      <c r="M1012" s="355">
        <f t="shared" si="95"/>
        <v>-2573</v>
      </c>
      <c r="N1012" s="293"/>
    </row>
    <row r="1013" spans="1:21" s="50" customFormat="1">
      <c r="A1013" s="293"/>
      <c r="B1013" s="51" t="s">
        <v>647</v>
      </c>
      <c r="C1013" s="180"/>
      <c r="D1013" s="355">
        <f>D389</f>
        <v>-383539</v>
      </c>
      <c r="E1013" s="355">
        <f t="shared" ref="E1013:M1013" si="96">E389</f>
        <v>-1701022</v>
      </c>
      <c r="F1013" s="355">
        <f t="shared" si="96"/>
        <v>-301902</v>
      </c>
      <c r="G1013" s="355">
        <f t="shared" si="96"/>
        <v>0</v>
      </c>
      <c r="H1013" s="355">
        <f t="shared" si="96"/>
        <v>0</v>
      </c>
      <c r="I1013" s="355">
        <f t="shared" si="96"/>
        <v>0</v>
      </c>
      <c r="J1013" s="355">
        <f t="shared" si="96"/>
        <v>0</v>
      </c>
      <c r="K1013" s="355">
        <f t="shared" si="96"/>
        <v>0</v>
      </c>
      <c r="L1013" s="355">
        <f t="shared" si="96"/>
        <v>0</v>
      </c>
      <c r="M1013" s="355">
        <f t="shared" si="96"/>
        <v>-2386463</v>
      </c>
      <c r="N1013" s="293"/>
    </row>
    <row r="1014" spans="1:21" s="50" customFormat="1">
      <c r="A1014" s="293"/>
      <c r="B1014" s="551" t="s">
        <v>38</v>
      </c>
      <c r="C1014" s="179"/>
      <c r="D1014" s="356">
        <f t="shared" ref="D1014:L1014" si="97">SUM(D1008:D1013)</f>
        <v>306520</v>
      </c>
      <c r="E1014" s="356">
        <f t="shared" si="97"/>
        <v>53610724</v>
      </c>
      <c r="F1014" s="356">
        <f t="shared" si="97"/>
        <v>8486299</v>
      </c>
      <c r="G1014" s="356">
        <f t="shared" si="97"/>
        <v>0</v>
      </c>
      <c r="H1014" s="356">
        <f t="shared" si="97"/>
        <v>0</v>
      </c>
      <c r="I1014" s="356">
        <f t="shared" si="97"/>
        <v>0</v>
      </c>
      <c r="J1014" s="356">
        <f t="shared" si="97"/>
        <v>0</v>
      </c>
      <c r="K1014" s="356">
        <f t="shared" si="97"/>
        <v>0</v>
      </c>
      <c r="L1014" s="356">
        <f t="shared" si="97"/>
        <v>0</v>
      </c>
      <c r="M1014" s="356">
        <f t="shared" si="86"/>
        <v>62403543</v>
      </c>
      <c r="N1014" s="293"/>
    </row>
    <row r="1015" spans="1:21" s="392" customFormat="1">
      <c r="A1015" s="394">
        <v>28</v>
      </c>
      <c r="D1015" s="396"/>
      <c r="E1015" s="396"/>
      <c r="F1015" s="396"/>
      <c r="G1015" s="396"/>
      <c r="H1015" s="396"/>
      <c r="I1015" s="396"/>
      <c r="J1015" s="396"/>
      <c r="K1015" s="396"/>
      <c r="L1015" s="405"/>
      <c r="M1015" s="396"/>
      <c r="N1015" s="389"/>
    </row>
    <row r="1016" spans="1:21" s="50" customFormat="1" ht="13.5" customHeight="1">
      <c r="A1016" s="293"/>
      <c r="B1016" s="551" t="s">
        <v>1008</v>
      </c>
      <c r="C1016" s="179"/>
      <c r="D1016" s="356">
        <f t="shared" ref="D1016:L1016" si="98">D1014+D1001</f>
        <v>103087597</v>
      </c>
      <c r="E1016" s="356">
        <f t="shared" si="98"/>
        <v>194431883</v>
      </c>
      <c r="F1016" s="356">
        <f t="shared" si="98"/>
        <v>8486299</v>
      </c>
      <c r="G1016" s="356">
        <f t="shared" si="98"/>
        <v>0</v>
      </c>
      <c r="H1016" s="356">
        <f t="shared" si="98"/>
        <v>0</v>
      </c>
      <c r="I1016" s="356">
        <f t="shared" si="98"/>
        <v>0</v>
      </c>
      <c r="J1016" s="356">
        <f t="shared" si="98"/>
        <v>0</v>
      </c>
      <c r="K1016" s="356">
        <f t="shared" si="98"/>
        <v>0</v>
      </c>
      <c r="L1016" s="356">
        <f t="shared" si="98"/>
        <v>0</v>
      </c>
      <c r="M1016" s="356">
        <f>D1016+E1016+F1016+G1016+H1016+I1016+J1016+K1016+L1016</f>
        <v>306005779</v>
      </c>
      <c r="N1016" s="293"/>
      <c r="O1016"/>
      <c r="P1016"/>
      <c r="Q1016"/>
      <c r="R1016"/>
    </row>
    <row r="1017" spans="1:21">
      <c r="A1017" s="147">
        <v>28</v>
      </c>
      <c r="D1017" s="357"/>
      <c r="E1017" s="357"/>
      <c r="F1017" s="357"/>
      <c r="G1017" s="357"/>
      <c r="H1017" s="357"/>
      <c r="I1017" s="357"/>
      <c r="J1017" s="357"/>
      <c r="K1017" s="357"/>
      <c r="L1017" s="357"/>
      <c r="M1017" s="357"/>
      <c r="N1017" s="293"/>
      <c r="P1017" s="50"/>
      <c r="Q1017" s="50"/>
    </row>
    <row r="1018" spans="1:21" s="392" customFormat="1">
      <c r="A1018" s="394">
        <v>29</v>
      </c>
      <c r="B1018" s="390" t="s">
        <v>6</v>
      </c>
      <c r="C1018" s="390"/>
      <c r="D1018" s="396"/>
      <c r="E1018" s="396"/>
      <c r="F1018" s="396"/>
      <c r="G1018" s="396"/>
      <c r="H1018" s="396"/>
      <c r="I1018" s="396"/>
      <c r="J1018" s="396"/>
      <c r="K1018" s="396"/>
      <c r="L1018" s="405"/>
      <c r="M1018" s="396"/>
      <c r="N1018" s="389"/>
    </row>
    <row r="1019" spans="1:21" s="392" customFormat="1">
      <c r="A1019" s="394">
        <v>30</v>
      </c>
      <c r="B1019" s="397" t="s">
        <v>7</v>
      </c>
      <c r="C1019" s="397"/>
      <c r="D1019" s="404">
        <f>D431</f>
        <v>0</v>
      </c>
      <c r="E1019" s="404">
        <f t="shared" ref="E1019:M1019" si="99">E431</f>
        <v>228139088</v>
      </c>
      <c r="F1019" s="404">
        <f t="shared" si="99"/>
        <v>0</v>
      </c>
      <c r="G1019" s="404">
        <f t="shared" si="99"/>
        <v>664907917</v>
      </c>
      <c r="H1019" s="404">
        <f t="shared" si="99"/>
        <v>10401</v>
      </c>
      <c r="I1019" s="404">
        <f t="shared" si="99"/>
        <v>0</v>
      </c>
      <c r="J1019" s="404">
        <f t="shared" si="99"/>
        <v>-352845</v>
      </c>
      <c r="K1019" s="404">
        <f t="shared" si="99"/>
        <v>0</v>
      </c>
      <c r="L1019" s="404">
        <f t="shared" si="99"/>
        <v>0</v>
      </c>
      <c r="M1019" s="404">
        <f t="shared" si="99"/>
        <v>892704561</v>
      </c>
      <c r="N1019" s="389"/>
    </row>
    <row r="1020" spans="1:21" s="392" customFormat="1">
      <c r="A1020" s="394">
        <v>31</v>
      </c>
      <c r="N1020" s="389"/>
    </row>
    <row r="1021" spans="1:21">
      <c r="A1021" s="147">
        <v>32</v>
      </c>
      <c r="B1021" s="151" t="s">
        <v>57</v>
      </c>
      <c r="C1021" s="151"/>
      <c r="D1021" s="357"/>
      <c r="E1021" s="357"/>
      <c r="F1021" s="357"/>
      <c r="G1021" s="357"/>
      <c r="H1021" s="357"/>
      <c r="I1021" s="357"/>
      <c r="J1021" s="357"/>
      <c r="K1021" s="357"/>
      <c r="L1021" s="357"/>
      <c r="M1021" s="357"/>
      <c r="N1021" s="147"/>
      <c r="U1021" s="156"/>
    </row>
    <row r="1022" spans="1:21">
      <c r="A1022" s="147">
        <v>33</v>
      </c>
      <c r="B1022" s="158" t="s">
        <v>56</v>
      </c>
      <c r="C1022" s="158"/>
      <c r="D1022" s="404">
        <f>D446</f>
        <v>0</v>
      </c>
      <c r="E1022" s="404">
        <f t="shared" ref="E1022:M1022" si="100">E446</f>
        <v>2060635971</v>
      </c>
      <c r="F1022" s="404">
        <f t="shared" si="100"/>
        <v>0</v>
      </c>
      <c r="G1022" s="404">
        <f t="shared" si="100"/>
        <v>106629573</v>
      </c>
      <c r="H1022" s="404">
        <f t="shared" si="100"/>
        <v>0</v>
      </c>
      <c r="I1022" s="404">
        <f t="shared" si="100"/>
        <v>0</v>
      </c>
      <c r="J1022" s="404">
        <f t="shared" si="100"/>
        <v>0</v>
      </c>
      <c r="K1022" s="404">
        <f t="shared" si="100"/>
        <v>0</v>
      </c>
      <c r="L1022" s="404">
        <f t="shared" si="100"/>
        <v>0</v>
      </c>
      <c r="M1022" s="404">
        <f t="shared" si="100"/>
        <v>2167265544</v>
      </c>
      <c r="N1022" s="147"/>
      <c r="P1022" s="156"/>
      <c r="U1022" s="156"/>
    </row>
    <row r="1023" spans="1:21">
      <c r="A1023" s="147">
        <v>34</v>
      </c>
      <c r="B1023" s="159"/>
      <c r="C1023" s="159"/>
      <c r="D1023" s="405"/>
      <c r="E1023" s="405"/>
      <c r="F1023" s="405"/>
      <c r="G1023" s="405"/>
      <c r="H1023" s="405"/>
      <c r="I1023" s="405"/>
      <c r="J1023" s="405"/>
      <c r="K1023" s="405"/>
      <c r="L1023" s="405"/>
      <c r="M1023" s="405"/>
      <c r="N1023" s="147"/>
      <c r="P1023" s="156"/>
      <c r="U1023" s="156"/>
    </row>
    <row r="1024" spans="1:21">
      <c r="A1024" s="147">
        <v>35</v>
      </c>
      <c r="B1024" s="151" t="s">
        <v>55</v>
      </c>
      <c r="C1024" s="151"/>
      <c r="D1024" s="396"/>
      <c r="E1024" s="396"/>
      <c r="F1024" s="396"/>
      <c r="G1024" s="396"/>
      <c r="H1024" s="396"/>
      <c r="I1024" s="396"/>
      <c r="J1024" s="396"/>
      <c r="K1024" s="396"/>
      <c r="L1024" s="396"/>
      <c r="M1024" s="396"/>
      <c r="N1024" s="147"/>
      <c r="P1024" s="156"/>
      <c r="U1024" s="156"/>
    </row>
    <row r="1025" spans="1:21">
      <c r="A1025" s="147">
        <v>36</v>
      </c>
      <c r="B1025" s="158" t="s">
        <v>56</v>
      </c>
      <c r="C1025" s="158"/>
      <c r="D1025" s="404">
        <f>D461</f>
        <v>4412470695</v>
      </c>
      <c r="E1025" s="404">
        <f t="shared" ref="E1025:M1025" si="101">E461</f>
        <v>1904978927</v>
      </c>
      <c r="F1025" s="404">
        <f t="shared" si="101"/>
        <v>0</v>
      </c>
      <c r="G1025" s="404">
        <f t="shared" si="101"/>
        <v>0</v>
      </c>
      <c r="H1025" s="404">
        <f t="shared" si="101"/>
        <v>0</v>
      </c>
      <c r="I1025" s="404">
        <f t="shared" si="101"/>
        <v>0</v>
      </c>
      <c r="J1025" s="404">
        <f t="shared" si="101"/>
        <v>0</v>
      </c>
      <c r="K1025" s="404">
        <f t="shared" si="101"/>
        <v>0</v>
      </c>
      <c r="L1025" s="404">
        <f t="shared" si="101"/>
        <v>0</v>
      </c>
      <c r="M1025" s="404">
        <f t="shared" si="101"/>
        <v>6317449622</v>
      </c>
      <c r="N1025" s="147"/>
      <c r="P1025" s="156"/>
      <c r="U1025" s="156"/>
    </row>
    <row r="1026" spans="1:21">
      <c r="A1026" s="147">
        <v>37</v>
      </c>
      <c r="B1026" s="159"/>
      <c r="C1026" s="159"/>
      <c r="D1026" s="357"/>
      <c r="E1026" s="357"/>
      <c r="F1026" s="357"/>
      <c r="G1026" s="357"/>
      <c r="H1026" s="357"/>
      <c r="I1026" s="357"/>
      <c r="J1026" s="357"/>
      <c r="K1026" s="357"/>
      <c r="L1026" s="357"/>
      <c r="M1026" s="357"/>
      <c r="N1026" s="147"/>
      <c r="P1026" s="156"/>
      <c r="U1026" s="156"/>
    </row>
    <row r="1027" spans="1:21" s="392" customFormat="1">
      <c r="A1027" s="394">
        <v>32</v>
      </c>
      <c r="B1027" s="390" t="s">
        <v>8</v>
      </c>
      <c r="C1027" s="390"/>
      <c r="L1027" s="393"/>
      <c r="N1027" s="389"/>
    </row>
    <row r="1028" spans="1:21" s="392" customFormat="1">
      <c r="A1028" s="394">
        <v>33</v>
      </c>
      <c r="B1028" s="392" t="s">
        <v>40</v>
      </c>
      <c r="D1028" s="396">
        <f>D476</f>
        <v>72835960</v>
      </c>
      <c r="E1028" s="396">
        <f t="shared" ref="E1028:M1028" si="102">E476</f>
        <v>322778279</v>
      </c>
      <c r="F1028" s="396">
        <f t="shared" si="102"/>
        <v>924246</v>
      </c>
      <c r="G1028" s="396">
        <f t="shared" si="102"/>
        <v>140399471</v>
      </c>
      <c r="H1028" s="396">
        <f t="shared" si="102"/>
        <v>431604</v>
      </c>
      <c r="I1028" s="396">
        <f t="shared" si="102"/>
        <v>5311499</v>
      </c>
      <c r="J1028" s="396">
        <f t="shared" si="102"/>
        <v>1394411</v>
      </c>
      <c r="K1028" s="396">
        <f t="shared" si="102"/>
        <v>209626</v>
      </c>
      <c r="L1028" s="396">
        <f t="shared" si="102"/>
        <v>0</v>
      </c>
      <c r="M1028" s="396">
        <f t="shared" si="102"/>
        <v>544285096</v>
      </c>
      <c r="N1028" s="389"/>
    </row>
    <row r="1029" spans="1:21" s="392" customFormat="1">
      <c r="A1029" s="394">
        <v>34</v>
      </c>
      <c r="B1029" s="392" t="s">
        <v>9</v>
      </c>
      <c r="D1029" s="396">
        <f>D489</f>
        <v>15000</v>
      </c>
      <c r="E1029" s="396">
        <f t="shared" ref="E1029:M1029" si="103">E489</f>
        <v>884617541</v>
      </c>
      <c r="F1029" s="396">
        <f t="shared" si="103"/>
        <v>0</v>
      </c>
      <c r="G1029" s="396">
        <f t="shared" si="103"/>
        <v>56023055</v>
      </c>
      <c r="H1029" s="396">
        <f t="shared" si="103"/>
        <v>0</v>
      </c>
      <c r="I1029" s="396">
        <f t="shared" si="103"/>
        <v>0</v>
      </c>
      <c r="J1029" s="396">
        <f t="shared" si="103"/>
        <v>0</v>
      </c>
      <c r="K1029" s="396">
        <f t="shared" si="103"/>
        <v>0</v>
      </c>
      <c r="L1029" s="396">
        <f t="shared" si="103"/>
        <v>0</v>
      </c>
      <c r="M1029" s="396">
        <f t="shared" si="103"/>
        <v>940655596</v>
      </c>
      <c r="N1029" s="389"/>
    </row>
    <row r="1030" spans="1:21" s="392" customFormat="1">
      <c r="A1030" s="394">
        <v>35</v>
      </c>
      <c r="B1030" s="392" t="s">
        <v>10</v>
      </c>
      <c r="D1030" s="396">
        <f>D502</f>
        <v>2844289</v>
      </c>
      <c r="E1030" s="396">
        <f t="shared" ref="E1030:M1030" si="104">E502</f>
        <v>336873448</v>
      </c>
      <c r="F1030" s="396">
        <f t="shared" si="104"/>
        <v>490621</v>
      </c>
      <c r="G1030" s="396">
        <f t="shared" si="104"/>
        <v>613253503</v>
      </c>
      <c r="H1030" s="396">
        <f t="shared" si="104"/>
        <v>18855</v>
      </c>
      <c r="I1030" s="396">
        <f t="shared" si="104"/>
        <v>500000</v>
      </c>
      <c r="J1030" s="396">
        <f t="shared" si="104"/>
        <v>63168870</v>
      </c>
      <c r="K1030" s="396">
        <f t="shared" si="104"/>
        <v>0</v>
      </c>
      <c r="L1030" s="396">
        <f t="shared" si="104"/>
        <v>0</v>
      </c>
      <c r="M1030" s="396">
        <f t="shared" si="104"/>
        <v>1017149586</v>
      </c>
      <c r="N1030" s="389"/>
    </row>
    <row r="1031" spans="1:21" s="392" customFormat="1">
      <c r="A1031" s="394">
        <v>36</v>
      </c>
      <c r="B1031" s="392" t="s">
        <v>11</v>
      </c>
      <c r="D1031" s="396">
        <f>D515</f>
        <v>22881104</v>
      </c>
      <c r="E1031" s="396">
        <f t="shared" ref="E1031:M1031" si="105">E515</f>
        <v>145849638</v>
      </c>
      <c r="F1031" s="396">
        <f t="shared" si="105"/>
        <v>0</v>
      </c>
      <c r="G1031" s="396">
        <f t="shared" si="105"/>
        <v>40320928</v>
      </c>
      <c r="H1031" s="396">
        <f t="shared" si="105"/>
        <v>681</v>
      </c>
      <c r="I1031" s="396">
        <f t="shared" si="105"/>
        <v>0</v>
      </c>
      <c r="J1031" s="396">
        <f t="shared" si="105"/>
        <v>0</v>
      </c>
      <c r="K1031" s="396">
        <f t="shared" si="105"/>
        <v>0</v>
      </c>
      <c r="L1031" s="396">
        <f t="shared" si="105"/>
        <v>0</v>
      </c>
      <c r="M1031" s="396">
        <f t="shared" si="105"/>
        <v>209052351</v>
      </c>
      <c r="N1031" s="389"/>
    </row>
    <row r="1032" spans="1:21" s="392" customFormat="1">
      <c r="A1032" s="394">
        <v>37</v>
      </c>
      <c r="B1032" s="393" t="s">
        <v>12</v>
      </c>
      <c r="C1032" s="393"/>
      <c r="D1032" s="396">
        <f>D528</f>
        <v>0</v>
      </c>
      <c r="E1032" s="396">
        <f t="shared" ref="E1032:M1032" si="106">E528</f>
        <v>0</v>
      </c>
      <c r="F1032" s="396">
        <f t="shared" si="106"/>
        <v>123232260</v>
      </c>
      <c r="G1032" s="396">
        <f t="shared" si="106"/>
        <v>0</v>
      </c>
      <c r="H1032" s="396">
        <f t="shared" si="106"/>
        <v>0</v>
      </c>
      <c r="I1032" s="396">
        <f t="shared" si="106"/>
        <v>0</v>
      </c>
      <c r="J1032" s="396">
        <f t="shared" si="106"/>
        <v>0</v>
      </c>
      <c r="K1032" s="396">
        <f t="shared" si="106"/>
        <v>0</v>
      </c>
      <c r="L1032" s="396">
        <f t="shared" si="106"/>
        <v>0</v>
      </c>
      <c r="M1032" s="396">
        <f t="shared" si="106"/>
        <v>123232260</v>
      </c>
      <c r="N1032" s="389"/>
    </row>
    <row r="1033" spans="1:21" s="392" customFormat="1">
      <c r="A1033" s="394">
        <v>38</v>
      </c>
      <c r="B1033" s="392" t="s">
        <v>41</v>
      </c>
      <c r="D1033" s="396">
        <f>D541</f>
        <v>41899853</v>
      </c>
      <c r="E1033" s="396">
        <f t="shared" ref="E1033:M1033" si="107">E541</f>
        <v>451590069</v>
      </c>
      <c r="F1033" s="396">
        <f t="shared" si="107"/>
        <v>30340</v>
      </c>
      <c r="G1033" s="396">
        <f t="shared" si="107"/>
        <v>9785228</v>
      </c>
      <c r="H1033" s="396">
        <f t="shared" si="107"/>
        <v>597175</v>
      </c>
      <c r="I1033" s="396">
        <f t="shared" si="107"/>
        <v>0</v>
      </c>
      <c r="J1033" s="396">
        <f t="shared" si="107"/>
        <v>11668291</v>
      </c>
      <c r="K1033" s="396">
        <f t="shared" si="107"/>
        <v>0</v>
      </c>
      <c r="L1033" s="396">
        <f t="shared" si="107"/>
        <v>-630609</v>
      </c>
      <c r="M1033" s="396">
        <f t="shared" si="107"/>
        <v>514940347</v>
      </c>
      <c r="N1033" s="389"/>
    </row>
    <row r="1034" spans="1:21" s="392" customFormat="1">
      <c r="A1034" s="394">
        <v>39</v>
      </c>
      <c r="B1034" s="397" t="s">
        <v>3</v>
      </c>
      <c r="C1034" s="397"/>
      <c r="D1034" s="404">
        <f t="shared" ref="D1034:M1034" si="108">SUM(D1028:D1033)</f>
        <v>140476206</v>
      </c>
      <c r="E1034" s="404">
        <f t="shared" si="108"/>
        <v>2141708975</v>
      </c>
      <c r="F1034" s="404">
        <f t="shared" si="108"/>
        <v>124677467</v>
      </c>
      <c r="G1034" s="404">
        <f t="shared" si="108"/>
        <v>859782185</v>
      </c>
      <c r="H1034" s="404">
        <f t="shared" si="108"/>
        <v>1048315</v>
      </c>
      <c r="I1034" s="404">
        <f t="shared" si="108"/>
        <v>5811499</v>
      </c>
      <c r="J1034" s="404">
        <f t="shared" si="108"/>
        <v>76231572</v>
      </c>
      <c r="K1034" s="404">
        <f t="shared" si="108"/>
        <v>209626</v>
      </c>
      <c r="L1034" s="404">
        <f t="shared" si="108"/>
        <v>-630609</v>
      </c>
      <c r="M1034" s="404">
        <f t="shared" si="108"/>
        <v>3349315236</v>
      </c>
      <c r="N1034" s="389"/>
    </row>
    <row r="1035" spans="1:21" s="392" customFormat="1">
      <c r="A1035" s="394">
        <v>40</v>
      </c>
      <c r="B1035" s="164" t="s">
        <v>71</v>
      </c>
      <c r="C1035" s="164"/>
      <c r="D1035" s="356">
        <f>D987+D1016+D1019+D1022+D1025+D1034</f>
        <v>6490815328</v>
      </c>
      <c r="E1035" s="356">
        <f t="shared" ref="E1035:M1035" si="109">E987+E1016+E1019+E1022+E1025+E1034</f>
        <v>6557847142</v>
      </c>
      <c r="F1035" s="356">
        <f t="shared" si="109"/>
        <v>133163766</v>
      </c>
      <c r="G1035" s="356">
        <f t="shared" si="109"/>
        <v>1784629783</v>
      </c>
      <c r="H1035" s="356">
        <f t="shared" si="109"/>
        <v>1058716</v>
      </c>
      <c r="I1035" s="356">
        <f t="shared" si="109"/>
        <v>5811499</v>
      </c>
      <c r="J1035" s="356">
        <f t="shared" si="109"/>
        <v>75878727</v>
      </c>
      <c r="K1035" s="356">
        <f t="shared" si="109"/>
        <v>209626</v>
      </c>
      <c r="L1035" s="356">
        <f t="shared" si="109"/>
        <v>-630609</v>
      </c>
      <c r="M1035" s="356">
        <f t="shared" si="109"/>
        <v>15048783978</v>
      </c>
      <c r="N1035" s="389"/>
    </row>
    <row r="1036" spans="1:21" s="392" customFormat="1">
      <c r="A1036" s="394">
        <v>41</v>
      </c>
      <c r="D1036" s="396"/>
      <c r="E1036" s="396"/>
      <c r="F1036" s="396"/>
      <c r="G1036" s="396"/>
      <c r="H1036" s="396"/>
      <c r="I1036" s="396"/>
      <c r="J1036" s="396"/>
      <c r="K1036" s="396"/>
      <c r="L1036" s="405"/>
      <c r="M1036" s="396"/>
      <c r="N1036" s="389"/>
    </row>
    <row r="1037" spans="1:21" s="392" customFormat="1">
      <c r="A1037" s="394">
        <v>42</v>
      </c>
      <c r="B1037" s="398" t="s">
        <v>75</v>
      </c>
      <c r="C1037" s="398"/>
      <c r="D1037" s="406"/>
      <c r="E1037" s="406"/>
      <c r="F1037" s="406"/>
      <c r="G1037" s="406"/>
      <c r="H1037" s="406"/>
      <c r="I1037" s="406"/>
      <c r="J1037" s="406"/>
      <c r="K1037" s="406"/>
      <c r="L1037" s="406"/>
      <c r="M1037" s="406"/>
      <c r="N1037" s="389"/>
    </row>
    <row r="1038" spans="1:21" s="392" customFormat="1">
      <c r="A1038" s="394">
        <v>43</v>
      </c>
      <c r="B1038" s="392" t="s">
        <v>14</v>
      </c>
      <c r="D1038" s="396">
        <f>D581</f>
        <v>690684472</v>
      </c>
      <c r="E1038" s="396">
        <f t="shared" ref="E1038:M1038" si="110">E581</f>
        <v>2174080505</v>
      </c>
      <c r="F1038" s="396">
        <f t="shared" si="110"/>
        <v>0</v>
      </c>
      <c r="G1038" s="396">
        <f t="shared" si="110"/>
        <v>134796883</v>
      </c>
      <c r="H1038" s="396">
        <f t="shared" si="110"/>
        <v>7173</v>
      </c>
      <c r="I1038" s="396">
        <f t="shared" si="110"/>
        <v>0</v>
      </c>
      <c r="J1038" s="396">
        <f t="shared" si="110"/>
        <v>0</v>
      </c>
      <c r="K1038" s="396">
        <f t="shared" si="110"/>
        <v>0</v>
      </c>
      <c r="L1038" s="396">
        <f t="shared" si="110"/>
        <v>0</v>
      </c>
      <c r="M1038" s="396">
        <f t="shared" si="110"/>
        <v>2999569033</v>
      </c>
      <c r="N1038" s="389"/>
    </row>
    <row r="1039" spans="1:21" s="392" customFormat="1">
      <c r="A1039" s="394">
        <v>44</v>
      </c>
      <c r="B1039" s="392" t="s">
        <v>15</v>
      </c>
      <c r="D1039" s="396">
        <f>D594</f>
        <v>340862300</v>
      </c>
      <c r="E1039" s="396">
        <f t="shared" ref="E1039:M1039" si="111">E594</f>
        <v>220956530</v>
      </c>
      <c r="F1039" s="396">
        <f t="shared" si="111"/>
        <v>0</v>
      </c>
      <c r="G1039" s="396">
        <f t="shared" si="111"/>
        <v>1189447793</v>
      </c>
      <c r="H1039" s="396">
        <f t="shared" si="111"/>
        <v>0</v>
      </c>
      <c r="I1039" s="396">
        <f t="shared" si="111"/>
        <v>0</v>
      </c>
      <c r="J1039" s="396">
        <f t="shared" si="111"/>
        <v>99780</v>
      </c>
      <c r="K1039" s="396">
        <f t="shared" si="111"/>
        <v>0</v>
      </c>
      <c r="L1039" s="396">
        <f t="shared" si="111"/>
        <v>0</v>
      </c>
      <c r="M1039" s="396">
        <f t="shared" si="111"/>
        <v>1751366403</v>
      </c>
      <c r="N1039" s="389"/>
    </row>
    <row r="1040" spans="1:21" s="392" customFormat="1">
      <c r="A1040" s="394">
        <v>45</v>
      </c>
      <c r="B1040" s="392" t="s">
        <v>16</v>
      </c>
      <c r="D1040" s="396">
        <f>D607</f>
        <v>21341057</v>
      </c>
      <c r="E1040" s="396">
        <f t="shared" ref="E1040:M1040" si="112">E607</f>
        <v>85020911</v>
      </c>
      <c r="F1040" s="396">
        <f t="shared" si="112"/>
        <v>0</v>
      </c>
      <c r="G1040" s="396">
        <f t="shared" si="112"/>
        <v>216898744</v>
      </c>
      <c r="H1040" s="396">
        <f t="shared" si="112"/>
        <v>0</v>
      </c>
      <c r="I1040" s="396">
        <f t="shared" si="112"/>
        <v>0</v>
      </c>
      <c r="J1040" s="396">
        <f t="shared" si="112"/>
        <v>28675</v>
      </c>
      <c r="K1040" s="396">
        <f t="shared" si="112"/>
        <v>0</v>
      </c>
      <c r="L1040" s="396">
        <f t="shared" si="112"/>
        <v>0</v>
      </c>
      <c r="M1040" s="396">
        <f t="shared" si="112"/>
        <v>323289387</v>
      </c>
      <c r="N1040" s="389"/>
    </row>
    <row r="1041" spans="1:14" s="392" customFormat="1">
      <c r="A1041" s="394"/>
      <c r="B1041" s="392" t="s">
        <v>55</v>
      </c>
      <c r="D1041" s="396">
        <f>D620</f>
        <v>3011368684</v>
      </c>
      <c r="E1041" s="396">
        <f t="shared" ref="E1041:M1041" si="113">E620</f>
        <v>3023743024</v>
      </c>
      <c r="F1041" s="396">
        <f t="shared" si="113"/>
        <v>0</v>
      </c>
      <c r="G1041" s="396">
        <f t="shared" si="113"/>
        <v>41009905</v>
      </c>
      <c r="H1041" s="396">
        <f t="shared" si="113"/>
        <v>0</v>
      </c>
      <c r="I1041" s="396">
        <f t="shared" si="113"/>
        <v>0</v>
      </c>
      <c r="J1041" s="396">
        <f t="shared" si="113"/>
        <v>0</v>
      </c>
      <c r="K1041" s="396">
        <f t="shared" si="113"/>
        <v>0</v>
      </c>
      <c r="L1041" s="396">
        <f t="shared" si="113"/>
        <v>0</v>
      </c>
      <c r="M1041" s="396">
        <f t="shared" si="113"/>
        <v>6076121613</v>
      </c>
      <c r="N1041" s="389"/>
    </row>
    <row r="1042" spans="1:14" s="392" customFormat="1">
      <c r="A1042" s="394">
        <v>46</v>
      </c>
      <c r="B1042" s="392" t="s">
        <v>17</v>
      </c>
      <c r="D1042" s="396">
        <f>D633</f>
        <v>344641906</v>
      </c>
      <c r="E1042" s="396">
        <f t="shared" ref="E1042:M1042" si="114">E633</f>
        <v>202510098</v>
      </c>
      <c r="F1042" s="396">
        <f t="shared" si="114"/>
        <v>0</v>
      </c>
      <c r="G1042" s="396">
        <f t="shared" si="114"/>
        <v>17105397</v>
      </c>
      <c r="H1042" s="396">
        <f t="shared" si="114"/>
        <v>0</v>
      </c>
      <c r="I1042" s="396">
        <f t="shared" si="114"/>
        <v>0</v>
      </c>
      <c r="J1042" s="396">
        <f t="shared" si="114"/>
        <v>3650524</v>
      </c>
      <c r="K1042" s="396">
        <f t="shared" si="114"/>
        <v>0</v>
      </c>
      <c r="L1042" s="396">
        <f t="shared" si="114"/>
        <v>0</v>
      </c>
      <c r="M1042" s="396">
        <f t="shared" si="114"/>
        <v>567907925</v>
      </c>
      <c r="N1042" s="389"/>
    </row>
    <row r="1043" spans="1:14" s="392" customFormat="1">
      <c r="A1043" s="394">
        <v>47</v>
      </c>
      <c r="B1043" s="392" t="s">
        <v>18</v>
      </c>
      <c r="D1043" s="396">
        <f>D646</f>
        <v>21688529</v>
      </c>
      <c r="E1043" s="396">
        <f t="shared" ref="E1043:M1043" si="115">E646</f>
        <v>28854010</v>
      </c>
      <c r="F1043" s="396">
        <f t="shared" si="115"/>
        <v>0</v>
      </c>
      <c r="G1043" s="396">
        <f t="shared" si="115"/>
        <v>2817560</v>
      </c>
      <c r="H1043" s="396">
        <f t="shared" si="115"/>
        <v>239789</v>
      </c>
      <c r="I1043" s="396">
        <f t="shared" si="115"/>
        <v>0</v>
      </c>
      <c r="J1043" s="396">
        <f t="shared" si="115"/>
        <v>0</v>
      </c>
      <c r="K1043" s="396">
        <f t="shared" si="115"/>
        <v>0</v>
      </c>
      <c r="L1043" s="396">
        <f t="shared" si="115"/>
        <v>0</v>
      </c>
      <c r="M1043" s="396">
        <f t="shared" si="115"/>
        <v>53599888</v>
      </c>
      <c r="N1043" s="389"/>
    </row>
    <row r="1044" spans="1:14" s="392" customFormat="1">
      <c r="A1044" s="394">
        <v>48</v>
      </c>
      <c r="B1044" s="392" t="s">
        <v>19</v>
      </c>
      <c r="D1044" s="396">
        <f>D659</f>
        <v>339120163</v>
      </c>
      <c r="E1044" s="396">
        <f t="shared" ref="E1044:M1044" si="116">E659</f>
        <v>174855593</v>
      </c>
      <c r="F1044" s="396">
        <f t="shared" si="116"/>
        <v>0</v>
      </c>
      <c r="G1044" s="396">
        <f t="shared" si="116"/>
        <v>18211813</v>
      </c>
      <c r="H1044" s="396">
        <f t="shared" si="116"/>
        <v>0</v>
      </c>
      <c r="I1044" s="396">
        <f t="shared" si="116"/>
        <v>56850</v>
      </c>
      <c r="J1044" s="396">
        <f t="shared" si="116"/>
        <v>335083</v>
      </c>
      <c r="K1044" s="396">
        <f t="shared" si="116"/>
        <v>0</v>
      </c>
      <c r="L1044" s="396">
        <f t="shared" si="116"/>
        <v>0</v>
      </c>
      <c r="M1044" s="396">
        <f t="shared" si="116"/>
        <v>532579502</v>
      </c>
      <c r="N1044" s="389"/>
    </row>
    <row r="1045" spans="1:14" s="392" customFormat="1">
      <c r="A1045" s="394">
        <v>49</v>
      </c>
      <c r="B1045" s="392" t="s">
        <v>20</v>
      </c>
      <c r="D1045" s="396">
        <f>D672</f>
        <v>357205261</v>
      </c>
      <c r="E1045" s="396">
        <f t="shared" ref="E1045:M1045" si="117">E672</f>
        <v>115131837</v>
      </c>
      <c r="F1045" s="396">
        <f t="shared" si="117"/>
        <v>0</v>
      </c>
      <c r="G1045" s="396">
        <f t="shared" si="117"/>
        <v>5122625</v>
      </c>
      <c r="H1045" s="396">
        <f t="shared" si="117"/>
        <v>0</v>
      </c>
      <c r="I1045" s="396">
        <f t="shared" si="117"/>
        <v>0</v>
      </c>
      <c r="J1045" s="396">
        <f t="shared" si="117"/>
        <v>55645246</v>
      </c>
      <c r="K1045" s="396">
        <f t="shared" si="117"/>
        <v>0</v>
      </c>
      <c r="L1045" s="396">
        <f t="shared" si="117"/>
        <v>45876</v>
      </c>
      <c r="M1045" s="396">
        <f t="shared" si="117"/>
        <v>533150845</v>
      </c>
      <c r="N1045" s="389"/>
    </row>
    <row r="1046" spans="1:14" s="392" customFormat="1">
      <c r="A1046" s="394">
        <v>50</v>
      </c>
      <c r="B1046" s="392" t="s">
        <v>21</v>
      </c>
      <c r="D1046" s="396">
        <f>D685</f>
        <v>3496655</v>
      </c>
      <c r="E1046" s="396">
        <f t="shared" ref="E1046:M1046" si="118">E685</f>
        <v>9188392</v>
      </c>
      <c r="F1046" s="396">
        <f t="shared" si="118"/>
        <v>0</v>
      </c>
      <c r="G1046" s="396">
        <f t="shared" si="118"/>
        <v>26019162</v>
      </c>
      <c r="H1046" s="396">
        <f t="shared" si="118"/>
        <v>46393</v>
      </c>
      <c r="I1046" s="396">
        <f t="shared" si="118"/>
        <v>0</v>
      </c>
      <c r="J1046" s="396">
        <f t="shared" si="118"/>
        <v>0</v>
      </c>
      <c r="K1046" s="396">
        <f t="shared" si="118"/>
        <v>0</v>
      </c>
      <c r="L1046" s="396">
        <f t="shared" si="118"/>
        <v>0</v>
      </c>
      <c r="M1046" s="396">
        <f t="shared" si="118"/>
        <v>38750602</v>
      </c>
      <c r="N1046" s="389"/>
    </row>
    <row r="1047" spans="1:14" s="392" customFormat="1">
      <c r="A1047" s="394">
        <v>51</v>
      </c>
      <c r="B1047" s="392" t="s">
        <v>22</v>
      </c>
      <c r="D1047" s="396">
        <f>D698</f>
        <v>0</v>
      </c>
      <c r="E1047" s="396">
        <f t="shared" ref="E1047:M1047" si="119">E698</f>
        <v>252781</v>
      </c>
      <c r="F1047" s="396">
        <f t="shared" si="119"/>
        <v>87445352</v>
      </c>
      <c r="G1047" s="396">
        <f t="shared" si="119"/>
        <v>356902</v>
      </c>
      <c r="H1047" s="396">
        <f t="shared" si="119"/>
        <v>0</v>
      </c>
      <c r="I1047" s="396">
        <f t="shared" si="119"/>
        <v>0</v>
      </c>
      <c r="J1047" s="396">
        <f t="shared" si="119"/>
        <v>0</v>
      </c>
      <c r="K1047" s="396">
        <f t="shared" si="119"/>
        <v>0</v>
      </c>
      <c r="L1047" s="396">
        <f t="shared" si="119"/>
        <v>0</v>
      </c>
      <c r="M1047" s="396">
        <f t="shared" si="119"/>
        <v>88055035</v>
      </c>
      <c r="N1047" s="389"/>
    </row>
    <row r="1048" spans="1:14" s="392" customFormat="1">
      <c r="A1048" s="394">
        <v>52</v>
      </c>
      <c r="B1048" s="399" t="s">
        <v>62</v>
      </c>
      <c r="C1048" s="399"/>
      <c r="D1048" s="396">
        <f>D711</f>
        <v>72427135</v>
      </c>
      <c r="E1048" s="396">
        <f t="shared" ref="E1048:M1048" si="120">E711</f>
        <v>64899296</v>
      </c>
      <c r="F1048" s="396">
        <f t="shared" si="120"/>
        <v>1683394</v>
      </c>
      <c r="G1048" s="396">
        <f t="shared" si="120"/>
        <v>36705232</v>
      </c>
      <c r="H1048" s="396">
        <f t="shared" si="120"/>
        <v>0</v>
      </c>
      <c r="I1048" s="396">
        <f t="shared" si="120"/>
        <v>0</v>
      </c>
      <c r="J1048" s="396">
        <f t="shared" si="120"/>
        <v>0</v>
      </c>
      <c r="K1048" s="396">
        <f t="shared" si="120"/>
        <v>0</v>
      </c>
      <c r="L1048" s="396">
        <f t="shared" si="120"/>
        <v>0</v>
      </c>
      <c r="M1048" s="396">
        <f t="shared" si="120"/>
        <v>175715057</v>
      </c>
      <c r="N1048" s="389"/>
    </row>
    <row r="1049" spans="1:14" s="392" customFormat="1">
      <c r="A1049" s="394">
        <v>53</v>
      </c>
      <c r="B1049" s="400" t="s">
        <v>42</v>
      </c>
      <c r="C1049" s="393"/>
      <c r="D1049" s="396">
        <f>D724</f>
        <v>195652</v>
      </c>
      <c r="E1049" s="396">
        <f t="shared" ref="E1049:M1049" si="121">E724</f>
        <v>2866544</v>
      </c>
      <c r="F1049" s="396">
        <f t="shared" si="121"/>
        <v>0</v>
      </c>
      <c r="G1049" s="396">
        <f t="shared" si="121"/>
        <v>132278</v>
      </c>
      <c r="H1049" s="396">
        <f t="shared" si="121"/>
        <v>14671693</v>
      </c>
      <c r="I1049" s="396">
        <f t="shared" si="121"/>
        <v>0</v>
      </c>
      <c r="J1049" s="396">
        <f t="shared" si="121"/>
        <v>4510330</v>
      </c>
      <c r="K1049" s="396">
        <f t="shared" si="121"/>
        <v>0</v>
      </c>
      <c r="L1049" s="396">
        <f t="shared" si="121"/>
        <v>3673390</v>
      </c>
      <c r="M1049" s="396">
        <f t="shared" si="121"/>
        <v>26049887</v>
      </c>
      <c r="N1049" s="389"/>
    </row>
    <row r="1050" spans="1:14" s="392" customFormat="1">
      <c r="A1050" s="394">
        <v>54</v>
      </c>
      <c r="B1050" s="164" t="s">
        <v>72</v>
      </c>
      <c r="C1050" s="164"/>
      <c r="D1050" s="404">
        <f t="shared" ref="D1050:M1050" si="122">SUM(D1038:D1049)</f>
        <v>5203031814</v>
      </c>
      <c r="E1050" s="404">
        <f t="shared" si="122"/>
        <v>6102359521</v>
      </c>
      <c r="F1050" s="404">
        <f t="shared" si="122"/>
        <v>89128746</v>
      </c>
      <c r="G1050" s="404">
        <f t="shared" si="122"/>
        <v>1688624294</v>
      </c>
      <c r="H1050" s="404">
        <f t="shared" si="122"/>
        <v>14965048</v>
      </c>
      <c r="I1050" s="404">
        <f t="shared" si="122"/>
        <v>56850</v>
      </c>
      <c r="J1050" s="404">
        <f t="shared" si="122"/>
        <v>64269638</v>
      </c>
      <c r="K1050" s="404">
        <f t="shared" si="122"/>
        <v>0</v>
      </c>
      <c r="L1050" s="404">
        <f t="shared" si="122"/>
        <v>3719266</v>
      </c>
      <c r="M1050" s="404">
        <f t="shared" si="122"/>
        <v>13166155177</v>
      </c>
      <c r="N1050" s="389"/>
    </row>
    <row r="1051" spans="1:14" s="392" customFormat="1">
      <c r="A1051" s="394">
        <v>55</v>
      </c>
      <c r="D1051" s="396"/>
      <c r="E1051" s="396"/>
      <c r="F1051" s="396"/>
      <c r="G1051" s="396"/>
      <c r="H1051" s="396"/>
      <c r="I1051" s="396"/>
      <c r="J1051" s="396"/>
      <c r="K1051" s="396"/>
      <c r="L1051" s="405"/>
      <c r="M1051" s="396"/>
      <c r="N1051" s="389"/>
    </row>
    <row r="1052" spans="1:14" s="392" customFormat="1">
      <c r="A1052" s="394">
        <v>56</v>
      </c>
      <c r="B1052" s="390" t="s">
        <v>23</v>
      </c>
      <c r="C1052" s="390"/>
      <c r="L1052" s="393"/>
      <c r="N1052" s="389"/>
    </row>
    <row r="1053" spans="1:14" s="392" customFormat="1">
      <c r="A1053" s="394">
        <v>57</v>
      </c>
      <c r="B1053" s="392" t="s">
        <v>63</v>
      </c>
      <c r="D1053" s="396">
        <f>D752</f>
        <v>0</v>
      </c>
      <c r="E1053" s="396">
        <f t="shared" ref="E1053:M1053" si="123">E752</f>
        <v>0</v>
      </c>
      <c r="F1053" s="396">
        <f t="shared" si="123"/>
        <v>0</v>
      </c>
      <c r="G1053" s="396">
        <f t="shared" si="123"/>
        <v>0</v>
      </c>
      <c r="H1053" s="396">
        <f t="shared" si="123"/>
        <v>0</v>
      </c>
      <c r="I1053" s="396">
        <f t="shared" si="123"/>
        <v>0</v>
      </c>
      <c r="J1053" s="396">
        <f t="shared" si="123"/>
        <v>-1128983843</v>
      </c>
      <c r="K1053" s="396">
        <f t="shared" si="123"/>
        <v>0</v>
      </c>
      <c r="L1053" s="396">
        <f t="shared" si="123"/>
        <v>-69392043</v>
      </c>
      <c r="M1053" s="396">
        <f t="shared" si="123"/>
        <v>-1198375886</v>
      </c>
      <c r="N1053" s="389"/>
    </row>
    <row r="1054" spans="1:14" s="392" customFormat="1">
      <c r="A1054" s="394">
        <v>58</v>
      </c>
      <c r="B1054" s="392" t="s">
        <v>50</v>
      </c>
      <c r="D1054" s="396">
        <f>D765</f>
        <v>-514173042</v>
      </c>
      <c r="E1054" s="396">
        <f t="shared" ref="E1054:M1054" si="124">E765</f>
        <v>-18744867</v>
      </c>
      <c r="F1054" s="396">
        <f t="shared" si="124"/>
        <v>-14535354</v>
      </c>
      <c r="G1054" s="396">
        <f t="shared" si="124"/>
        <v>-80424618</v>
      </c>
      <c r="H1054" s="396">
        <f t="shared" si="124"/>
        <v>-386751</v>
      </c>
      <c r="I1054" s="396">
        <f t="shared" si="124"/>
        <v>133170565</v>
      </c>
      <c r="J1054" s="396">
        <f t="shared" si="124"/>
        <v>569393074</v>
      </c>
      <c r="K1054" s="396">
        <f t="shared" si="124"/>
        <v>3189149</v>
      </c>
      <c r="L1054" s="396">
        <f t="shared" si="124"/>
        <v>74953714</v>
      </c>
      <c r="M1054" s="396">
        <f t="shared" si="124"/>
        <v>152441870</v>
      </c>
      <c r="N1054" s="389"/>
    </row>
    <row r="1055" spans="1:14" s="392" customFormat="1">
      <c r="A1055" s="394">
        <v>59</v>
      </c>
      <c r="B1055" s="392" t="s">
        <v>211</v>
      </c>
      <c r="D1055" s="396">
        <f>D778</f>
        <v>0</v>
      </c>
      <c r="E1055" s="396">
        <f t="shared" ref="E1055:M1055" si="125">E778</f>
        <v>0</v>
      </c>
      <c r="F1055" s="396">
        <f t="shared" si="125"/>
        <v>0</v>
      </c>
      <c r="G1055" s="396">
        <f t="shared" si="125"/>
        <v>0</v>
      </c>
      <c r="H1055" s="396">
        <f t="shared" si="125"/>
        <v>0</v>
      </c>
      <c r="I1055" s="396">
        <f t="shared" si="125"/>
        <v>0</v>
      </c>
      <c r="J1055" s="396">
        <f t="shared" si="125"/>
        <v>512585065</v>
      </c>
      <c r="K1055" s="396">
        <f t="shared" si="125"/>
        <v>0</v>
      </c>
      <c r="L1055" s="396">
        <f t="shared" si="125"/>
        <v>0</v>
      </c>
      <c r="M1055" s="396">
        <f t="shared" si="125"/>
        <v>512585065</v>
      </c>
      <c r="N1055" s="389"/>
    </row>
    <row r="1056" spans="1:14" s="392" customFormat="1">
      <c r="A1056" s="394">
        <v>60</v>
      </c>
      <c r="B1056" s="392" t="s">
        <v>43</v>
      </c>
      <c r="D1056" s="396">
        <f>D791</f>
        <v>-272503574</v>
      </c>
      <c r="E1056" s="396">
        <f t="shared" ref="E1056:M1056" si="126">E791</f>
        <v>-100800333</v>
      </c>
      <c r="F1056" s="396">
        <f t="shared" si="126"/>
        <v>-29481932</v>
      </c>
      <c r="G1056" s="396">
        <f t="shared" si="126"/>
        <v>-80650</v>
      </c>
      <c r="H1056" s="396">
        <f t="shared" si="126"/>
        <v>0</v>
      </c>
      <c r="I1056" s="396">
        <f t="shared" si="126"/>
        <v>0</v>
      </c>
      <c r="J1056" s="396">
        <f t="shared" si="126"/>
        <v>-12622937</v>
      </c>
      <c r="K1056" s="396">
        <f t="shared" si="126"/>
        <v>-3093366</v>
      </c>
      <c r="L1056" s="396">
        <f t="shared" si="126"/>
        <v>-17284</v>
      </c>
      <c r="M1056" s="396">
        <f t="shared" si="126"/>
        <v>-418600076</v>
      </c>
      <c r="N1056" s="389"/>
    </row>
    <row r="1057" spans="1:14" s="392" customFormat="1">
      <c r="A1057" s="394">
        <v>61</v>
      </c>
      <c r="B1057" s="164" t="s">
        <v>3</v>
      </c>
      <c r="C1057" s="164"/>
      <c r="D1057" s="404">
        <f>SUM(D1053:D1056)</f>
        <v>-786676616</v>
      </c>
      <c r="E1057" s="404">
        <f t="shared" ref="E1057:M1057" si="127">SUM(E1053:E1056)</f>
        <v>-119545200</v>
      </c>
      <c r="F1057" s="404">
        <f t="shared" si="127"/>
        <v>-44017286</v>
      </c>
      <c r="G1057" s="404">
        <f t="shared" si="127"/>
        <v>-80505268</v>
      </c>
      <c r="H1057" s="404">
        <f t="shared" si="127"/>
        <v>-386751</v>
      </c>
      <c r="I1057" s="404">
        <f t="shared" si="127"/>
        <v>133170565</v>
      </c>
      <c r="J1057" s="404">
        <f t="shared" si="127"/>
        <v>-59628641</v>
      </c>
      <c r="K1057" s="404">
        <f t="shared" si="127"/>
        <v>95783</v>
      </c>
      <c r="L1057" s="404">
        <f t="shared" si="127"/>
        <v>5544387</v>
      </c>
      <c r="M1057" s="404">
        <f t="shared" si="127"/>
        <v>-951949027</v>
      </c>
      <c r="N1057" s="389"/>
    </row>
    <row r="1058" spans="1:14" s="392" customFormat="1">
      <c r="A1058" s="394">
        <v>62</v>
      </c>
      <c r="D1058" s="396"/>
      <c r="E1058" s="396"/>
      <c r="F1058" s="396"/>
      <c r="G1058" s="396"/>
      <c r="H1058" s="396"/>
      <c r="I1058" s="396"/>
      <c r="J1058" s="396"/>
      <c r="K1058" s="396"/>
      <c r="L1058" s="396"/>
      <c r="M1058" s="396"/>
      <c r="N1058" s="389"/>
    </row>
    <row r="1059" spans="1:14" s="392" customFormat="1">
      <c r="A1059" s="394">
        <v>63</v>
      </c>
      <c r="B1059" s="390" t="s">
        <v>24</v>
      </c>
      <c r="C1059" s="390"/>
      <c r="D1059" s="396"/>
      <c r="E1059" s="396"/>
      <c r="F1059" s="396"/>
      <c r="G1059" s="396"/>
      <c r="H1059" s="396"/>
      <c r="I1059" s="396"/>
      <c r="J1059" s="396"/>
      <c r="K1059" s="396"/>
      <c r="L1059" s="396"/>
      <c r="M1059" s="396"/>
      <c r="N1059" s="389"/>
    </row>
    <row r="1060" spans="1:14" s="392" customFormat="1">
      <c r="A1060" s="394">
        <v>64</v>
      </c>
      <c r="B1060" s="392" t="s">
        <v>44</v>
      </c>
      <c r="D1060" s="396">
        <f>D819</f>
        <v>-1188437</v>
      </c>
      <c r="E1060" s="396">
        <f t="shared" ref="E1060:M1060" si="128">E819</f>
        <v>6735366</v>
      </c>
      <c r="F1060" s="396">
        <f t="shared" si="128"/>
        <v>-110137</v>
      </c>
      <c r="G1060" s="396">
        <f t="shared" si="128"/>
        <v>-7034474</v>
      </c>
      <c r="H1060" s="396">
        <f t="shared" si="128"/>
        <v>-32154</v>
      </c>
      <c r="I1060" s="396">
        <f t="shared" si="128"/>
        <v>189908836</v>
      </c>
      <c r="J1060" s="396">
        <f t="shared" si="128"/>
        <v>-7265483</v>
      </c>
      <c r="K1060" s="396">
        <f t="shared" si="128"/>
        <v>0</v>
      </c>
      <c r="L1060" s="396">
        <f t="shared" si="128"/>
        <v>0</v>
      </c>
      <c r="M1060" s="396">
        <f t="shared" si="128"/>
        <v>181013517</v>
      </c>
      <c r="N1060" s="389"/>
    </row>
    <row r="1061" spans="1:14" s="392" customFormat="1">
      <c r="A1061" s="394">
        <v>65</v>
      </c>
      <c r="B1061" s="392" t="s">
        <v>45</v>
      </c>
      <c r="D1061" s="396">
        <f>D832</f>
        <v>0</v>
      </c>
      <c r="E1061" s="396">
        <f t="shared" ref="E1061:M1061" si="129">E832</f>
        <v>0</v>
      </c>
      <c r="F1061" s="396">
        <f t="shared" si="129"/>
        <v>0</v>
      </c>
      <c r="G1061" s="396">
        <f t="shared" si="129"/>
        <v>977424</v>
      </c>
      <c r="H1061" s="396">
        <f t="shared" si="129"/>
        <v>0</v>
      </c>
      <c r="I1061" s="396">
        <f t="shared" si="129"/>
        <v>72005733</v>
      </c>
      <c r="J1061" s="396">
        <f t="shared" si="129"/>
        <v>0</v>
      </c>
      <c r="K1061" s="396">
        <f t="shared" si="129"/>
        <v>0</v>
      </c>
      <c r="L1061" s="396">
        <f t="shared" si="129"/>
        <v>0</v>
      </c>
      <c r="M1061" s="396">
        <f t="shared" si="129"/>
        <v>72983157</v>
      </c>
      <c r="N1061" s="389"/>
    </row>
    <row r="1062" spans="1:14" s="392" customFormat="1">
      <c r="A1062" s="394">
        <v>66</v>
      </c>
      <c r="B1062" s="164" t="s">
        <v>3</v>
      </c>
      <c r="C1062" s="164"/>
      <c r="D1062" s="404">
        <f>SUM(D1060:D1061)</f>
        <v>-1188437</v>
      </c>
      <c r="E1062" s="404">
        <f t="shared" ref="E1062:M1062" si="130">SUM(E1060:E1061)</f>
        <v>6735366</v>
      </c>
      <c r="F1062" s="404">
        <f t="shared" si="130"/>
        <v>-110137</v>
      </c>
      <c r="G1062" s="404">
        <f t="shared" si="130"/>
        <v>-6057050</v>
      </c>
      <c r="H1062" s="404">
        <f t="shared" si="130"/>
        <v>-32154</v>
      </c>
      <c r="I1062" s="404">
        <f t="shared" si="130"/>
        <v>261914569</v>
      </c>
      <c r="J1062" s="404">
        <f t="shared" si="130"/>
        <v>-7265483</v>
      </c>
      <c r="K1062" s="404">
        <f t="shared" si="130"/>
        <v>0</v>
      </c>
      <c r="L1062" s="404">
        <f t="shared" si="130"/>
        <v>0</v>
      </c>
      <c r="M1062" s="404">
        <f t="shared" si="130"/>
        <v>253996674</v>
      </c>
      <c r="N1062" s="389"/>
    </row>
    <row r="1063" spans="1:14" s="392" customFormat="1">
      <c r="A1063" s="394">
        <v>67</v>
      </c>
      <c r="D1063" s="396"/>
      <c r="E1063" s="396"/>
      <c r="F1063" s="396"/>
      <c r="G1063" s="396"/>
      <c r="H1063" s="396"/>
      <c r="I1063" s="396"/>
      <c r="J1063" s="396"/>
      <c r="K1063" s="396"/>
      <c r="L1063" s="396"/>
      <c r="M1063" s="396"/>
      <c r="N1063" s="389"/>
    </row>
    <row r="1064" spans="1:14" s="392" customFormat="1">
      <c r="A1064" s="394">
        <v>68</v>
      </c>
      <c r="B1064" s="164" t="s">
        <v>61</v>
      </c>
      <c r="C1064" s="164"/>
      <c r="D1064" s="404">
        <f>D1035-D1050+D1057+D1062</f>
        <v>499918461</v>
      </c>
      <c r="E1064" s="404">
        <f t="shared" ref="E1064:M1064" si="131">E1035-E1050+E1057+E1062</f>
        <v>342677787</v>
      </c>
      <c r="F1064" s="404">
        <f t="shared" si="131"/>
        <v>-92403</v>
      </c>
      <c r="G1064" s="404">
        <f t="shared" si="131"/>
        <v>9443171</v>
      </c>
      <c r="H1064" s="404">
        <f t="shared" si="131"/>
        <v>-14325237</v>
      </c>
      <c r="I1064" s="404">
        <f t="shared" si="131"/>
        <v>400839783</v>
      </c>
      <c r="J1064" s="404">
        <f t="shared" si="131"/>
        <v>-55285035</v>
      </c>
      <c r="K1064" s="404">
        <f t="shared" si="131"/>
        <v>305409</v>
      </c>
      <c r="L1064" s="404">
        <f t="shared" si="131"/>
        <v>1194512</v>
      </c>
      <c r="M1064" s="404">
        <f t="shared" si="131"/>
        <v>1184676448</v>
      </c>
      <c r="N1064" s="389"/>
    </row>
    <row r="1065" spans="1:14" s="392" customFormat="1">
      <c r="A1065" s="394">
        <v>69</v>
      </c>
      <c r="B1065" s="401"/>
      <c r="C1065" s="401"/>
      <c r="D1065" s="396"/>
      <c r="E1065" s="396"/>
      <c r="F1065" s="396"/>
      <c r="G1065" s="396"/>
      <c r="H1065" s="396"/>
      <c r="I1065" s="396"/>
      <c r="J1065" s="396"/>
      <c r="K1065" s="396"/>
      <c r="L1065" s="396"/>
      <c r="M1065" s="396"/>
      <c r="N1065" s="389"/>
    </row>
    <row r="1066" spans="1:14" s="392" customFormat="1">
      <c r="A1066" s="394">
        <v>72</v>
      </c>
      <c r="B1066" s="392" t="s">
        <v>69</v>
      </c>
      <c r="D1066" s="396">
        <f>D873</f>
        <v>0</v>
      </c>
      <c r="E1066" s="396">
        <f t="shared" ref="E1066:M1066" si="132">E873</f>
        <v>0</v>
      </c>
      <c r="F1066" s="396">
        <f t="shared" si="132"/>
        <v>0</v>
      </c>
      <c r="G1066" s="396">
        <f t="shared" si="132"/>
        <v>0</v>
      </c>
      <c r="H1066" s="396">
        <f t="shared" si="132"/>
        <v>0</v>
      </c>
      <c r="I1066" s="396">
        <f t="shared" si="132"/>
        <v>0</v>
      </c>
      <c r="J1066" s="396">
        <f t="shared" si="132"/>
        <v>0</v>
      </c>
      <c r="K1066" s="396">
        <f t="shared" si="132"/>
        <v>0</v>
      </c>
      <c r="L1066" s="396">
        <f t="shared" si="132"/>
        <v>-925407012</v>
      </c>
      <c r="M1066" s="396">
        <f t="shared" si="132"/>
        <v>-925407012</v>
      </c>
      <c r="N1066" s="389"/>
    </row>
    <row r="1067" spans="1:14" s="392" customFormat="1">
      <c r="A1067" s="394"/>
      <c r="B1067" s="392" t="s">
        <v>212</v>
      </c>
      <c r="D1067" s="396">
        <f>D886</f>
        <v>0</v>
      </c>
      <c r="E1067" s="396">
        <f t="shared" ref="E1067:M1067" si="133">E886</f>
        <v>0</v>
      </c>
      <c r="F1067" s="396">
        <f t="shared" si="133"/>
        <v>0</v>
      </c>
      <c r="G1067" s="396">
        <f t="shared" si="133"/>
        <v>0</v>
      </c>
      <c r="H1067" s="396">
        <f t="shared" si="133"/>
        <v>0</v>
      </c>
      <c r="I1067" s="396">
        <f t="shared" si="133"/>
        <v>0</v>
      </c>
      <c r="J1067" s="396">
        <f t="shared" si="133"/>
        <v>0</v>
      </c>
      <c r="K1067" s="396">
        <f t="shared" si="133"/>
        <v>-38816</v>
      </c>
      <c r="L1067" s="396">
        <f t="shared" si="133"/>
        <v>54823276</v>
      </c>
      <c r="M1067" s="396">
        <f t="shared" si="133"/>
        <v>54784460</v>
      </c>
      <c r="N1067" s="389"/>
    </row>
    <row r="1068" spans="1:14" s="392" customFormat="1">
      <c r="A1068" s="394"/>
      <c r="B1068" s="392" t="s">
        <v>103</v>
      </c>
      <c r="D1068" s="396">
        <f>D899</f>
        <v>0</v>
      </c>
      <c r="E1068" s="396">
        <f t="shared" ref="E1068:M1068" si="134">E899</f>
        <v>0</v>
      </c>
      <c r="F1068" s="396">
        <f t="shared" si="134"/>
        <v>0</v>
      </c>
      <c r="G1068" s="396">
        <f t="shared" si="134"/>
        <v>0</v>
      </c>
      <c r="H1068" s="396">
        <f t="shared" si="134"/>
        <v>0</v>
      </c>
      <c r="I1068" s="396">
        <f t="shared" si="134"/>
        <v>0</v>
      </c>
      <c r="J1068" s="396">
        <f t="shared" si="134"/>
        <v>0</v>
      </c>
      <c r="K1068" s="396">
        <f t="shared" si="134"/>
        <v>0</v>
      </c>
      <c r="L1068" s="396">
        <f t="shared" si="134"/>
        <v>0</v>
      </c>
      <c r="M1068" s="396">
        <f t="shared" si="134"/>
        <v>0</v>
      </c>
      <c r="N1068" s="389"/>
    </row>
    <row r="1069" spans="1:14" s="392" customFormat="1">
      <c r="A1069" s="394"/>
      <c r="B1069" s="392" t="s">
        <v>141</v>
      </c>
      <c r="D1069" s="396">
        <f>D912</f>
        <v>0</v>
      </c>
      <c r="E1069" s="396">
        <f t="shared" ref="E1069:M1069" si="135">E912</f>
        <v>0</v>
      </c>
      <c r="F1069" s="396">
        <f t="shared" si="135"/>
        <v>0</v>
      </c>
      <c r="G1069" s="396">
        <f t="shared" si="135"/>
        <v>70000</v>
      </c>
      <c r="H1069" s="396">
        <f t="shared" si="135"/>
        <v>0</v>
      </c>
      <c r="I1069" s="396">
        <f t="shared" si="135"/>
        <v>0</v>
      </c>
      <c r="J1069" s="396">
        <f t="shared" si="135"/>
        <v>0</v>
      </c>
      <c r="K1069" s="396">
        <f t="shared" si="135"/>
        <v>0</v>
      </c>
      <c r="L1069" s="396">
        <f t="shared" si="135"/>
        <v>13013475</v>
      </c>
      <c r="M1069" s="396">
        <f t="shared" si="135"/>
        <v>13083475</v>
      </c>
      <c r="N1069" s="389"/>
    </row>
    <row r="1070" spans="1:14" s="392" customFormat="1">
      <c r="A1070" s="394">
        <v>73</v>
      </c>
      <c r="B1070" s="392" t="s">
        <v>70</v>
      </c>
      <c r="D1070" s="396">
        <f>D925</f>
        <v>2613743</v>
      </c>
      <c r="E1070" s="396">
        <f t="shared" ref="E1070:M1070" si="136">E925</f>
        <v>5393870</v>
      </c>
      <c r="F1070" s="396">
        <f t="shared" si="136"/>
        <v>277401</v>
      </c>
      <c r="G1070" s="396">
        <f t="shared" si="136"/>
        <v>1196817</v>
      </c>
      <c r="H1070" s="396">
        <f t="shared" si="136"/>
        <v>0</v>
      </c>
      <c r="I1070" s="396">
        <f t="shared" si="136"/>
        <v>0</v>
      </c>
      <c r="J1070" s="396">
        <f t="shared" si="136"/>
        <v>83946847</v>
      </c>
      <c r="K1070" s="396">
        <f t="shared" si="136"/>
        <v>0</v>
      </c>
      <c r="L1070" s="396">
        <f t="shared" si="136"/>
        <v>1274545455</v>
      </c>
      <c r="M1070" s="396">
        <f t="shared" si="136"/>
        <v>1367974133</v>
      </c>
      <c r="N1070" s="389"/>
    </row>
    <row r="1071" spans="1:14" s="392" customFormat="1" ht="13.5" thickBot="1">
      <c r="A1071" s="394">
        <v>74</v>
      </c>
      <c r="B1071" s="402" t="s">
        <v>64</v>
      </c>
      <c r="C1071" s="402"/>
      <c r="D1071" s="403">
        <f t="shared" ref="D1071" si="137">SUM(D1064:D1070)</f>
        <v>502532204</v>
      </c>
      <c r="E1071" s="403">
        <f t="shared" ref="E1071:M1071" si="138">SUM(E1064:E1070)</f>
        <v>348071657</v>
      </c>
      <c r="F1071" s="403">
        <f t="shared" si="138"/>
        <v>184998</v>
      </c>
      <c r="G1071" s="403">
        <f t="shared" si="138"/>
        <v>10709988</v>
      </c>
      <c r="H1071" s="403">
        <f t="shared" si="138"/>
        <v>-14325237</v>
      </c>
      <c r="I1071" s="403">
        <f t="shared" si="138"/>
        <v>400839783</v>
      </c>
      <c r="J1071" s="403">
        <f t="shared" si="138"/>
        <v>28661812</v>
      </c>
      <c r="K1071" s="403">
        <f t="shared" si="138"/>
        <v>266593</v>
      </c>
      <c r="L1071" s="403">
        <f t="shared" si="138"/>
        <v>418169706</v>
      </c>
      <c r="M1071" s="403">
        <f t="shared" si="138"/>
        <v>1695111504</v>
      </c>
      <c r="N1071" s="389"/>
    </row>
    <row r="1072" spans="1:14" s="392" customFormat="1" ht="13.5" thickTop="1">
      <c r="A1072" s="394"/>
      <c r="D1072" s="396"/>
      <c r="E1072" s="396"/>
      <c r="F1072" s="396"/>
      <c r="G1072" s="396"/>
      <c r="H1072" s="396"/>
      <c r="I1072" s="396"/>
      <c r="J1072" s="396"/>
      <c r="K1072" s="396"/>
      <c r="L1072" s="405"/>
      <c r="M1072" s="396"/>
      <c r="N1072" s="389"/>
    </row>
    <row r="1073" spans="1:14" s="392" customFormat="1">
      <c r="A1073" s="394"/>
      <c r="D1073" s="396"/>
      <c r="E1073" s="396"/>
      <c r="F1073" s="396"/>
      <c r="G1073" s="396"/>
      <c r="H1073" s="396"/>
      <c r="I1073" s="396"/>
      <c r="J1073" s="396"/>
      <c r="K1073" s="396"/>
      <c r="L1073" s="405"/>
      <c r="M1073" s="396"/>
      <c r="N1073" s="389"/>
    </row>
  </sheetData>
  <dataConsolidate link="1">
    <dataRefs count="12">
      <dataRef ref="D10:M106" sheet="AUSM FGD"/>
      <dataRef ref="D10:M106" sheet="HSH FGD"/>
      <dataRef ref="D10:M106" sheet="HSSA FGD"/>
      <dataRef ref="D10:M106" sheet="MBG FGD"/>
      <dataRef ref="D10:M106" sheet="MDA FGD"/>
      <dataRef ref="D10:M106" sheet="RGVM FGD"/>
      <dataRef ref="D10:M106" sheet="SWM FGD"/>
      <dataRef ref="D10:M106" sheet="TAMHSC FGD"/>
      <dataRef ref="D10:M106" sheet="THC FGD"/>
      <dataRef ref="D10:M106" sheet="TTUHSC FGD"/>
      <dataRef ref="D10:M106" sheet="TTUHSCEP FGD"/>
      <dataRef ref="D10:M106" sheet="UNTHSC FGD"/>
    </dataRefs>
  </dataConsolidate>
  <mergeCells count="5">
    <mergeCell ref="G568:K568"/>
    <mergeCell ref="B2:G2"/>
    <mergeCell ref="B3:F3"/>
    <mergeCell ref="B4:F4"/>
    <mergeCell ref="B6:M6"/>
  </mergeCells>
  <conditionalFormatting sqref="M979">
    <cfRule type="cellIs" dxfId="536" priority="1" operator="notEqual">
      <formula>0</formula>
    </cfRule>
  </conditionalFormatting>
  <hyperlinks>
    <hyperlink ref="N2" location="Index!A1" display="Return to Index"/>
  </hyperlinks>
  <printOptions horizontalCentered="1"/>
  <pageMargins left="0.25" right="0.25" top="0.25" bottom="0.2" header="0.5" footer="0.2"/>
  <pageSetup scale="44" pageOrder="overThenDown"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showGridLines="0" zoomScale="90" zoomScaleNormal="90" workbookViewId="0">
      <selection activeCell="D1" sqref="D1"/>
    </sheetView>
  </sheetViews>
  <sheetFormatPr defaultRowHeight="12.75"/>
  <cols>
    <col min="1" max="1" width="7" style="53" customWidth="1"/>
    <col min="2" max="2" width="93" style="53" customWidth="1"/>
    <col min="3" max="9" width="9.140625" style="53"/>
    <col min="10" max="10" width="12" style="53" customWidth="1"/>
    <col min="11" max="16384" width="9.140625" style="53"/>
  </cols>
  <sheetData>
    <row r="1" spans="2:6" ht="13.5" thickBot="1">
      <c r="B1" s="386" t="str">
        <f>'Smmy Chts'!$A$1</f>
        <v>Summary of All Health-Related Institutions</v>
      </c>
      <c r="D1" s="703" t="s">
        <v>1123</v>
      </c>
    </row>
    <row r="2" spans="2:6">
      <c r="B2" s="386" t="str">
        <f>'Smmy Chts'!$A$2</f>
        <v>For the Year Ended August 31, 2018</v>
      </c>
    </row>
    <row r="3" spans="2:6">
      <c r="B3" s="386" t="str">
        <f>'Smmy Chts'!A3</f>
        <v>Source: FY 2018 Annual Financial Report</v>
      </c>
    </row>
    <row r="5" spans="2:6" customFormat="1">
      <c r="B5" s="507" t="s">
        <v>624</v>
      </c>
    </row>
    <row r="6" spans="2:6" customFormat="1">
      <c r="B6" s="508"/>
    </row>
    <row r="7" spans="2:6" customFormat="1" ht="226.5" customHeight="1">
      <c r="B7" s="509" t="s">
        <v>625</v>
      </c>
      <c r="C7" s="510"/>
    </row>
    <row r="8" spans="2:6" customFormat="1" ht="263.25" customHeight="1">
      <c r="B8" s="509" t="s">
        <v>626</v>
      </c>
    </row>
    <row r="9" spans="2:6" ht="69.75" customHeight="1">
      <c r="B9" s="512" t="s">
        <v>1301</v>
      </c>
      <c r="F9" s="54"/>
    </row>
  </sheetData>
  <hyperlinks>
    <hyperlink ref="D1" location="Index!A1" display="Return to Index"/>
  </hyperlinks>
  <pageMargins left="0.25" right="0.25" top="0.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customWidth="1"/>
    <col min="3" max="3" width="55" customWidth="1"/>
    <col min="4" max="4" width="23.42578125" customWidth="1"/>
    <col min="5" max="5" width="9.140625" style="53"/>
  </cols>
  <sheetData>
    <row r="1" spans="1:5" ht="27.75" customHeight="1" thickBot="1">
      <c r="A1" s="145" t="s">
        <v>1203</v>
      </c>
      <c r="C1" s="703" t="s">
        <v>1123</v>
      </c>
    </row>
    <row r="2" spans="1:5" ht="27.75" customHeight="1">
      <c r="A2" s="22" t="str">
        <f>'Smmy Chts'!$A$2</f>
        <v>For the Year Ended August 31, 2018</v>
      </c>
    </row>
    <row r="3" spans="1:5" ht="27" customHeight="1">
      <c r="A3" s="22" t="str">
        <f>'Smmy Chts'!$A$3</f>
        <v>Source: FY 2018 Annual Financial Report</v>
      </c>
      <c r="C3" s="39" t="s">
        <v>67</v>
      </c>
    </row>
    <row r="4" spans="1:5" ht="12.95" customHeight="1">
      <c r="C4" s="39" t="s">
        <v>68</v>
      </c>
    </row>
    <row r="5" spans="1:5" ht="12.95" customHeight="1">
      <c r="B5" s="25"/>
      <c r="C5" s="55" t="s">
        <v>199</v>
      </c>
    </row>
    <row r="6" spans="1:5" ht="12.95" customHeight="1">
      <c r="B6" s="25"/>
      <c r="C6" s="25"/>
    </row>
    <row r="7" spans="1:5" ht="12.95" customHeight="1">
      <c r="B7" s="25"/>
      <c r="C7" s="25"/>
    </row>
    <row r="8" spans="1:5" ht="12.95" customHeight="1">
      <c r="B8" s="25"/>
      <c r="C8" s="25"/>
    </row>
    <row r="9" spans="1:5" ht="12.95" customHeight="1">
      <c r="B9" s="25"/>
      <c r="C9" s="1278" t="s">
        <v>25</v>
      </c>
      <c r="D9" s="1278"/>
    </row>
    <row r="10" spans="1:5" ht="12.95" customHeight="1">
      <c r="B10" s="25"/>
      <c r="C10" s="26"/>
      <c r="D10" s="27"/>
    </row>
    <row r="11" spans="1:5" ht="12.95" customHeight="1">
      <c r="B11" s="25"/>
      <c r="C11" s="28" t="str">
        <f>'SWM Sum'!A9</f>
        <v>State of Texas</v>
      </c>
      <c r="D11" s="29">
        <f>'SWM Sum'!B15</f>
        <v>233159298</v>
      </c>
      <c r="E11" s="673">
        <f>ROUND(D11/$D$17,3)</f>
        <v>7.4999999999999997E-2</v>
      </c>
    </row>
    <row r="12" spans="1:5" ht="12.95" customHeight="1">
      <c r="B12" s="25"/>
      <c r="C12" s="28" t="str">
        <f>'SWM Sum'!A17</f>
        <v>Student &amp; Parent</v>
      </c>
      <c r="D12" s="29">
        <f>'SWM Sum'!B20</f>
        <v>27027529</v>
      </c>
      <c r="E12" s="673">
        <f t="shared" ref="E12:E15" si="0">ROUND(D12/$D$17,3)</f>
        <v>8.9999999999999993E-3</v>
      </c>
    </row>
    <row r="13" spans="1:5" ht="12.95" customHeight="1">
      <c r="B13" s="25"/>
      <c r="C13" s="28" t="str">
        <f>'SWM Sum'!A22</f>
        <v>Federal Government</v>
      </c>
      <c r="D13" s="29">
        <f>'SWM Sum'!B23</f>
        <v>201008263</v>
      </c>
      <c r="E13" s="673">
        <f t="shared" si="0"/>
        <v>6.4000000000000001E-2</v>
      </c>
    </row>
    <row r="14" spans="1:5" ht="12.95" customHeight="1">
      <c r="B14" s="25"/>
      <c r="C14" s="28" t="str">
        <f>'SWM Sum'!A31</f>
        <v>Institutional Resources</v>
      </c>
      <c r="D14" s="29">
        <f>'SWM Sum'!B38</f>
        <v>690373215</v>
      </c>
      <c r="E14" s="673">
        <f t="shared" si="0"/>
        <v>0.221</v>
      </c>
    </row>
    <row r="15" spans="1:5" ht="12.95" customHeight="1">
      <c r="B15" s="25"/>
      <c r="C15" s="30" t="s">
        <v>58</v>
      </c>
      <c r="D15" s="29">
        <f>'SWM Sum'!B29+'SWM Sum'!B26</f>
        <v>1973863921</v>
      </c>
      <c r="E15" s="673">
        <f t="shared" si="0"/>
        <v>0.63200000000000001</v>
      </c>
    </row>
    <row r="16" spans="1:5" ht="12.95" customHeight="1">
      <c r="B16" s="25"/>
      <c r="C16" s="26"/>
      <c r="D16" s="27"/>
    </row>
    <row r="17" spans="1:5" ht="12.95" customHeight="1">
      <c r="B17" s="25"/>
      <c r="C17" s="31" t="s">
        <v>71</v>
      </c>
      <c r="D17" s="32">
        <f>SUM(D11:D16)</f>
        <v>3125432226</v>
      </c>
      <c r="E17" s="674">
        <f>SUM(E11:E15)</f>
        <v>1.0009999999999999</v>
      </c>
    </row>
    <row r="18" spans="1:5" ht="12.95" customHeight="1">
      <c r="B18" s="25"/>
      <c r="C18" s="25"/>
      <c r="E18" s="674"/>
    </row>
    <row r="19" spans="1:5" ht="12.95" customHeight="1">
      <c r="B19" s="25"/>
      <c r="C19" s="25"/>
    </row>
    <row r="20" spans="1:5" ht="12.95" customHeight="1"/>
    <row r="21" spans="1:5" ht="12.95" customHeight="1">
      <c r="C21" t="s">
        <v>200</v>
      </c>
    </row>
    <row r="22" spans="1:5" ht="12.95" customHeight="1">
      <c r="C22" t="s">
        <v>201</v>
      </c>
    </row>
    <row r="23" spans="1:5" ht="12.95" customHeight="1">
      <c r="C23" t="s">
        <v>202</v>
      </c>
    </row>
    <row r="24" spans="1:5" ht="12.95" customHeight="1">
      <c r="A24" s="12"/>
      <c r="C24" t="s">
        <v>203</v>
      </c>
    </row>
    <row r="25" spans="1:5" ht="12.95" customHeight="1">
      <c r="A25" s="12"/>
    </row>
    <row r="26" spans="1:5" ht="12.95" customHeight="1">
      <c r="A26" s="12"/>
    </row>
    <row r="27" spans="1:5" ht="12.95" customHeight="1">
      <c r="A27" s="12"/>
    </row>
    <row r="28" spans="1:5" ht="12.95" customHeight="1">
      <c r="A28" s="12"/>
    </row>
    <row r="29" spans="1:5" ht="12.95" customHeight="1">
      <c r="A29" s="12"/>
    </row>
    <row r="30" spans="1:5" ht="12.95" customHeight="1">
      <c r="A30" s="12"/>
    </row>
    <row r="31" spans="1:5" ht="12.95" customHeight="1">
      <c r="A31" s="12"/>
    </row>
    <row r="32" spans="1:5" ht="12.95" customHeight="1">
      <c r="A32" s="12"/>
    </row>
    <row r="33" spans="1:1" ht="12.95" customHeight="1">
      <c r="A33" s="12"/>
    </row>
    <row r="34" spans="1:1" ht="12.95" customHeight="1">
      <c r="A34" s="12"/>
    </row>
    <row r="35" spans="1:1" ht="12.95" customHeight="1">
      <c r="A35" s="12"/>
    </row>
    <row r="36" spans="1:1" ht="12.95" customHeight="1">
      <c r="A36" s="12"/>
    </row>
    <row r="37" spans="1:1" ht="12.95" customHeight="1">
      <c r="A37" s="12"/>
    </row>
    <row r="38" spans="1:1" ht="12.95" customHeight="1">
      <c r="A38" s="12"/>
    </row>
    <row r="39" spans="1:1" ht="12.95" customHeight="1">
      <c r="A39" s="12"/>
    </row>
    <row r="40" spans="1:1" ht="12.95" customHeight="1">
      <c r="A40" s="12"/>
    </row>
    <row r="41" spans="1:1" ht="12.95" customHeight="1">
      <c r="A41" s="12"/>
    </row>
    <row r="42" spans="1:1" ht="12.95" customHeight="1">
      <c r="A42" s="12"/>
    </row>
    <row r="43" spans="1:1" ht="12.95" customHeight="1">
      <c r="A43" s="12"/>
    </row>
    <row r="44" spans="1:1" ht="12.95" customHeight="1">
      <c r="A44" s="12"/>
    </row>
    <row r="45" spans="1:1" ht="12.95" customHeight="1">
      <c r="A45" s="12"/>
    </row>
    <row r="46" spans="1:1" ht="12.95" customHeight="1">
      <c r="A46" s="12"/>
    </row>
    <row r="47" spans="1:1" ht="12.95" customHeight="1">
      <c r="A47" s="1276" t="str">
        <f>C17&amp;" "&amp;TEXT(D17,"$#,###")</f>
        <v>Total Operating Sources $3,125,432,226</v>
      </c>
    </row>
    <row r="48" spans="1:1" ht="12.95" customHeight="1">
      <c r="A48" s="1276"/>
    </row>
    <row r="49" spans="1:5" ht="12.95" customHeight="1">
      <c r="A49" s="12"/>
    </row>
    <row r="50" spans="1:5" ht="12.95" customHeight="1">
      <c r="C50" s="33" t="s">
        <v>25</v>
      </c>
      <c r="D50" s="33"/>
    </row>
    <row r="51" spans="1:5" ht="12.95" customHeight="1">
      <c r="C51" s="26"/>
      <c r="D51" s="27"/>
    </row>
    <row r="52" spans="1:5" ht="12.95" customHeight="1">
      <c r="C52" s="34"/>
      <c r="D52" s="34"/>
    </row>
    <row r="53" spans="1:5" ht="12.95" customHeight="1">
      <c r="C53" s="28" t="s">
        <v>1</v>
      </c>
      <c r="D53" s="29">
        <f>'SWM Sum'!B10</f>
        <v>191118600</v>
      </c>
      <c r="E53" s="673">
        <f>ROUND(D53/$D$68,3)</f>
        <v>6.0999999999999999E-2</v>
      </c>
    </row>
    <row r="54" spans="1:5" ht="12.95" customHeight="1">
      <c r="C54" s="28" t="s">
        <v>76</v>
      </c>
      <c r="D54" s="29">
        <f>'SWM Sum'!B11</f>
        <v>42040698</v>
      </c>
      <c r="E54" s="673">
        <f t="shared" ref="E54:E67" si="1">ROUND(D54/$D$68,3)</f>
        <v>1.2999999999999999E-2</v>
      </c>
    </row>
    <row r="55" spans="1:5" ht="12.95" customHeight="1">
      <c r="C55" s="908"/>
      <c r="D55" s="29"/>
      <c r="E55" s="673"/>
    </row>
    <row r="56" spans="1:5" ht="12.95" customHeight="1">
      <c r="C56" s="908" t="str">
        <f>'SWM Sum'!A13</f>
        <v>Higher Education Fund</v>
      </c>
      <c r="D56" s="29">
        <f>'SWM Sum'!B13</f>
        <v>0</v>
      </c>
      <c r="E56" s="673">
        <f t="shared" si="1"/>
        <v>0</v>
      </c>
    </row>
    <row r="57" spans="1:5" ht="12.95" customHeight="1">
      <c r="C57" s="908" t="s">
        <v>39</v>
      </c>
      <c r="D57" s="29">
        <f>'SWM Sum'!B14</f>
        <v>0</v>
      </c>
      <c r="E57" s="673">
        <f t="shared" si="1"/>
        <v>0</v>
      </c>
    </row>
    <row r="58" spans="1:5" ht="12.95" customHeight="1">
      <c r="C58" s="28" t="s">
        <v>77</v>
      </c>
      <c r="D58" s="29">
        <f>'SWM Sum'!B20</f>
        <v>27027529</v>
      </c>
      <c r="E58" s="673">
        <f t="shared" si="1"/>
        <v>8.9999999999999993E-3</v>
      </c>
    </row>
    <row r="59" spans="1:5" ht="12.95" customHeight="1">
      <c r="C59" s="35" t="s">
        <v>78</v>
      </c>
      <c r="D59" s="29">
        <f>'SWM Sum'!B23</f>
        <v>201008263</v>
      </c>
      <c r="E59" s="673">
        <f t="shared" si="1"/>
        <v>6.4000000000000001E-2</v>
      </c>
    </row>
    <row r="60" spans="1:5" ht="12.95" customHeight="1">
      <c r="C60" s="28" t="s">
        <v>79</v>
      </c>
      <c r="D60" s="29">
        <f>'SWM Sum'!B32</f>
        <v>133254944</v>
      </c>
      <c r="E60" s="673">
        <f t="shared" si="1"/>
        <v>4.2999999999999997E-2</v>
      </c>
    </row>
    <row r="61" spans="1:5" ht="12.95" customHeight="1">
      <c r="C61" s="60" t="s">
        <v>198</v>
      </c>
      <c r="D61" s="29">
        <f>'SWM Sum'!B33</f>
        <v>209031879</v>
      </c>
      <c r="E61" s="673">
        <f t="shared" si="1"/>
        <v>6.7000000000000004E-2</v>
      </c>
    </row>
    <row r="62" spans="1:5" ht="12.95" customHeight="1">
      <c r="C62" s="28" t="s">
        <v>80</v>
      </c>
      <c r="D62" s="29">
        <f>'SWM Sum'!B34</f>
        <v>172392594</v>
      </c>
      <c r="E62" s="673">
        <f t="shared" si="1"/>
        <v>5.5E-2</v>
      </c>
    </row>
    <row r="63" spans="1:5" ht="12.95" customHeight="1">
      <c r="C63" s="28" t="s">
        <v>81</v>
      </c>
      <c r="D63" s="29">
        <f>'SWM Sum'!B35</f>
        <v>9620654</v>
      </c>
      <c r="E63" s="673">
        <f t="shared" si="1"/>
        <v>3.0000000000000001E-3</v>
      </c>
    </row>
    <row r="64" spans="1:5" ht="12.95" customHeight="1">
      <c r="C64" s="28" t="s">
        <v>12</v>
      </c>
      <c r="D64" s="29">
        <f>'SWM Sum'!B36</f>
        <v>26351428</v>
      </c>
      <c r="E64" s="673">
        <f t="shared" si="1"/>
        <v>8.0000000000000002E-3</v>
      </c>
    </row>
    <row r="65" spans="1:5" ht="12.95" customHeight="1">
      <c r="C65" s="35" t="s">
        <v>48</v>
      </c>
      <c r="D65" s="29">
        <f>'SWM Sum'!B37</f>
        <v>139721716</v>
      </c>
      <c r="E65" s="673">
        <f t="shared" si="1"/>
        <v>4.4999999999999998E-2</v>
      </c>
    </row>
    <row r="66" spans="1:5" ht="12.95" customHeight="1">
      <c r="C66" s="35" t="s">
        <v>57</v>
      </c>
      <c r="D66" s="29">
        <f>'SWM Sum'!B26</f>
        <v>665714950</v>
      </c>
      <c r="E66" s="673">
        <f t="shared" si="1"/>
        <v>0.21299999999999999</v>
      </c>
    </row>
    <row r="67" spans="1:5" ht="12.95" customHeight="1">
      <c r="C67" s="30" t="s">
        <v>58</v>
      </c>
      <c r="D67" s="29">
        <f>'SWM Sum'!B29</f>
        <v>1308148971</v>
      </c>
      <c r="E67" s="673">
        <f t="shared" si="1"/>
        <v>0.41899999999999998</v>
      </c>
    </row>
    <row r="68" spans="1:5" ht="12.95" customHeight="1">
      <c r="C68" s="31" t="s">
        <v>71</v>
      </c>
      <c r="D68" s="32">
        <f>SUM(D53:D67)</f>
        <v>3125432226</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12"/>
    </row>
    <row r="79" spans="1:5" ht="12.95" customHeight="1">
      <c r="A79" s="12"/>
    </row>
    <row r="80" spans="1:5" ht="12.95" customHeight="1">
      <c r="A80" s="12"/>
    </row>
    <row r="81" spans="1:1" ht="12.95" customHeight="1">
      <c r="A81" s="12"/>
    </row>
    <row r="82" spans="1:1" ht="12.95" customHeight="1">
      <c r="A82" s="13"/>
    </row>
    <row r="83" spans="1:1" ht="12.95" customHeight="1">
      <c r="A83" s="13"/>
    </row>
    <row r="84" spans="1:1" ht="12.95" customHeight="1">
      <c r="A84" s="13"/>
    </row>
    <row r="85" spans="1:1" ht="12.95" customHeight="1">
      <c r="A85" s="13"/>
    </row>
    <row r="86" spans="1:1" ht="12.95" customHeight="1">
      <c r="A86" s="13"/>
    </row>
    <row r="87" spans="1:1" ht="12.95" customHeight="1">
      <c r="A87" s="13"/>
    </row>
    <row r="88" spans="1:1" ht="12.95" customHeight="1">
      <c r="A88" s="13"/>
    </row>
    <row r="89" spans="1:1" ht="12.95" customHeight="1">
      <c r="A89" s="13"/>
    </row>
    <row r="90" spans="1:1" ht="12.95" customHeight="1">
      <c r="A90" s="13"/>
    </row>
    <row r="91" spans="1:1" ht="12.95" customHeight="1">
      <c r="A91" s="13"/>
    </row>
    <row r="92" spans="1:1" ht="12.95" customHeight="1">
      <c r="A92" s="1276" t="str">
        <f>C68&amp;" "&amp;TEXT(D68,"$#,###")</f>
        <v>Total Operating Sources $3,125,432,226</v>
      </c>
    </row>
    <row r="93" spans="1:1" ht="12.95" customHeight="1">
      <c r="A93" s="1276"/>
    </row>
    <row r="94" spans="1:1" ht="12.95" customHeight="1">
      <c r="A94" s="13"/>
    </row>
    <row r="95" spans="1:1" ht="12.95" customHeight="1">
      <c r="A95" s="13"/>
    </row>
    <row r="96" spans="1:1" ht="12.95" customHeight="1">
      <c r="A96" s="13"/>
    </row>
    <row r="97" spans="1:5" ht="12.95" customHeight="1">
      <c r="A97" s="13"/>
    </row>
    <row r="98" spans="1:5" ht="12.95" customHeight="1">
      <c r="A98" s="13"/>
    </row>
    <row r="99" spans="1:5" ht="12.95" customHeight="1"/>
    <row r="100" spans="1:5" ht="12.95" customHeight="1">
      <c r="C100" s="1277" t="s">
        <v>13</v>
      </c>
      <c r="D100" s="1277"/>
    </row>
    <row r="101" spans="1:5" ht="12.95" customHeight="1">
      <c r="C101" s="1277"/>
      <c r="D101" s="1277"/>
    </row>
    <row r="102" spans="1:5" ht="12.95" customHeight="1">
      <c r="C102" s="36" t="s">
        <v>14</v>
      </c>
      <c r="D102" s="29">
        <f>'SWM Sum'!B42</f>
        <v>951791832</v>
      </c>
      <c r="E102" s="673">
        <f>ROUND(D102/$D$115,3)</f>
        <v>0.34100000000000003</v>
      </c>
    </row>
    <row r="103" spans="1:5" ht="12.95" customHeight="1">
      <c r="C103" s="36" t="s">
        <v>15</v>
      </c>
      <c r="D103" s="29">
        <f>'SWM Sum'!B43</f>
        <v>363136707</v>
      </c>
      <c r="E103" s="673">
        <f t="shared" ref="E103:E113" si="2">ROUND(D103/$D$115,3)</f>
        <v>0.13</v>
      </c>
    </row>
    <row r="104" spans="1:5" ht="12.95" customHeight="1">
      <c r="C104" s="36" t="s">
        <v>16</v>
      </c>
      <c r="D104" s="29">
        <f>'SWM Sum'!B44</f>
        <v>31194857</v>
      </c>
      <c r="E104" s="673">
        <f t="shared" si="2"/>
        <v>1.0999999999999999E-2</v>
      </c>
    </row>
    <row r="105" spans="1:5" ht="12.95" customHeight="1">
      <c r="C105" s="36" t="s">
        <v>17</v>
      </c>
      <c r="D105" s="29">
        <f>'SWM Sum'!B46</f>
        <v>23866871</v>
      </c>
      <c r="E105" s="673">
        <f t="shared" si="2"/>
        <v>8.9999999999999993E-3</v>
      </c>
    </row>
    <row r="106" spans="1:5" ht="12.95" customHeight="1">
      <c r="C106" s="36" t="s">
        <v>18</v>
      </c>
      <c r="D106" s="29">
        <f>'SWM Sum'!B47</f>
        <v>4004422</v>
      </c>
      <c r="E106" s="673">
        <f t="shared" si="2"/>
        <v>1E-3</v>
      </c>
    </row>
    <row r="107" spans="1:5" ht="12.95" customHeight="1">
      <c r="C107" s="36" t="s">
        <v>19</v>
      </c>
      <c r="D107" s="29">
        <f>'SWM Sum'!B48</f>
        <v>70995819</v>
      </c>
      <c r="E107" s="673">
        <f t="shared" si="2"/>
        <v>2.5000000000000001E-2</v>
      </c>
    </row>
    <row r="108" spans="1:5" ht="12.95" customHeight="1">
      <c r="C108" s="36" t="s">
        <v>82</v>
      </c>
      <c r="D108" s="29">
        <f>'SWM Sum'!B49</f>
        <v>83724272</v>
      </c>
      <c r="E108" s="673">
        <f t="shared" si="2"/>
        <v>0.03</v>
      </c>
    </row>
    <row r="109" spans="1:5" ht="12.95" customHeight="1">
      <c r="C109" s="36" t="s">
        <v>83</v>
      </c>
      <c r="D109" s="29">
        <f>'SWM Sum'!B50</f>
        <v>4460128</v>
      </c>
      <c r="E109" s="673">
        <f t="shared" si="2"/>
        <v>2E-3</v>
      </c>
    </row>
    <row r="110" spans="1:5" ht="12.95" customHeight="1">
      <c r="C110" s="36" t="s">
        <v>22</v>
      </c>
      <c r="D110" s="29">
        <f>'SWM Sum'!B51</f>
        <v>24066743</v>
      </c>
      <c r="E110" s="673">
        <f t="shared" si="2"/>
        <v>8.9999999999999993E-3</v>
      </c>
    </row>
    <row r="111" spans="1:5" ht="12.95" customHeight="1">
      <c r="C111" s="37" t="s">
        <v>27</v>
      </c>
      <c r="D111" s="29">
        <f>'SWM Sum'!B52</f>
        <v>14443657</v>
      </c>
      <c r="E111" s="673">
        <f t="shared" si="2"/>
        <v>5.0000000000000001E-3</v>
      </c>
    </row>
    <row r="112" spans="1:5" ht="12.95" customHeight="1">
      <c r="C112" s="35" t="s">
        <v>49</v>
      </c>
      <c r="D112" s="29">
        <f>'SWM Sum'!B53</f>
        <v>7759542</v>
      </c>
      <c r="E112" s="673">
        <f t="shared" si="2"/>
        <v>3.0000000000000001E-3</v>
      </c>
    </row>
    <row r="113" spans="3:5" ht="12.95" customHeight="1">
      <c r="C113" s="30" t="s">
        <v>84</v>
      </c>
      <c r="D113" s="29">
        <f>'SWM Sum'!B45</f>
        <v>1210667716</v>
      </c>
      <c r="E113" s="673">
        <f t="shared" si="2"/>
        <v>0.434</v>
      </c>
    </row>
    <row r="114" spans="3:5" ht="12.95" customHeight="1">
      <c r="C114" s="26"/>
      <c r="D114" s="26"/>
      <c r="E114" s="674"/>
    </row>
    <row r="115" spans="3:5" ht="12.95" customHeight="1">
      <c r="C115" s="38" t="s">
        <v>72</v>
      </c>
      <c r="D115" s="32">
        <f>SUM(D102:D114)</f>
        <v>2790112566</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12"/>
    </row>
    <row r="133" spans="1:1" ht="12.95" customHeight="1">
      <c r="A133" s="12"/>
    </row>
    <row r="134" spans="1:1" ht="12.95" customHeight="1">
      <c r="A134" s="12"/>
    </row>
    <row r="135" spans="1:1" ht="12.95" customHeight="1">
      <c r="A135" s="12"/>
    </row>
    <row r="136" spans="1:1" ht="12.95" customHeight="1">
      <c r="A136" s="1276" t="str">
        <f>C115&amp;" "&amp;TEXT(D115,"$#,###")</f>
        <v>Total Operating Uses $2,790,112,566</v>
      </c>
    </row>
    <row r="137" spans="1:1" ht="12.95" customHeight="1">
      <c r="A137" s="1276"/>
    </row>
    <row r="138" spans="1:1" ht="12.95" customHeight="1">
      <c r="A138" s="12"/>
    </row>
    <row r="139" spans="1:1" ht="12.95" customHeight="1">
      <c r="A139" s="373" t="s">
        <v>73</v>
      </c>
    </row>
    <row r="140" spans="1:1" ht="12.95" customHeight="1">
      <c r="A140" s="375" t="s">
        <v>60</v>
      </c>
    </row>
    <row r="141" spans="1:1" ht="12.95" customHeight="1">
      <c r="A141" s="12"/>
    </row>
    <row r="142" spans="1:1" ht="12.95" customHeight="1">
      <c r="A142" s="12"/>
    </row>
    <row r="143" spans="1:1" ht="12.95" customHeight="1">
      <c r="A143" s="12"/>
    </row>
    <row r="144" spans="1:1" ht="12.95" customHeight="1">
      <c r="A144" s="12"/>
    </row>
    <row r="145" spans="1:1" ht="12.95" customHeight="1">
      <c r="A145" s="12"/>
    </row>
    <row r="146" spans="1:1" ht="12.95" customHeight="1">
      <c r="A146" s="12"/>
    </row>
    <row r="147" spans="1:1" ht="12.95" customHeight="1">
      <c r="A147" s="18"/>
    </row>
    <row r="148" spans="1:1" ht="12.95" customHeight="1">
      <c r="A148" s="18"/>
    </row>
    <row r="149" spans="1:1" ht="12.95" customHeight="1">
      <c r="A149" s="18"/>
    </row>
    <row r="150" spans="1:1" ht="12.95" customHeight="1">
      <c r="A150" s="19"/>
    </row>
    <row r="151" spans="1:1" ht="12.95" customHeight="1">
      <c r="A151" s="19"/>
    </row>
    <row r="152" spans="1:1" ht="12.95" customHeight="1">
      <c r="A152" s="19"/>
    </row>
    <row r="153" spans="1:1" ht="12.95" customHeight="1">
      <c r="A153" s="19"/>
    </row>
    <row r="154" spans="1:1" ht="13.5" customHeight="1">
      <c r="A154" s="19"/>
    </row>
    <row r="155" spans="1:1" ht="13.5" customHeight="1">
      <c r="A155" s="19"/>
    </row>
    <row r="156" spans="1:1" ht="13.5" customHeight="1">
      <c r="A156" s="19"/>
    </row>
    <row r="157" spans="1:1" ht="13.5" customHeight="1">
      <c r="A157" s="19"/>
    </row>
    <row r="158" spans="1:1" ht="13.5" customHeight="1">
      <c r="A158" s="19"/>
    </row>
    <row r="159" spans="1:1" ht="13.5" customHeight="1">
      <c r="A159" s="19"/>
    </row>
    <row r="160" spans="1:1" ht="13.5" customHeight="1">
      <c r="A160" s="19"/>
    </row>
    <row r="161" spans="1:1" ht="13.5" customHeight="1">
      <c r="A161" s="19"/>
    </row>
    <row r="162" spans="1:1" ht="13.5" customHeight="1">
      <c r="A162" s="19"/>
    </row>
    <row r="163" spans="1:1" ht="13.5" customHeight="1">
      <c r="A163" s="19"/>
    </row>
    <row r="164" spans="1:1" ht="13.5" customHeight="1">
      <c r="A164" s="19"/>
    </row>
    <row r="165" spans="1:1" ht="13.5" customHeight="1">
      <c r="A165" s="19"/>
    </row>
    <row r="166" spans="1:1" ht="13.5" customHeight="1">
      <c r="A166" s="19"/>
    </row>
    <row r="167" spans="1:1" ht="13.5" customHeight="1">
      <c r="A167" s="12"/>
    </row>
    <row r="168" spans="1:1" ht="13.5" customHeight="1">
      <c r="A168" s="12"/>
    </row>
    <row r="169" spans="1:1" ht="13.5" customHeight="1">
      <c r="A169" s="12"/>
    </row>
    <row r="170" spans="1:1" ht="13.5" customHeight="1">
      <c r="A170" s="12"/>
    </row>
    <row r="171" spans="1:1" ht="13.5" customHeight="1">
      <c r="A171" s="12"/>
    </row>
    <row r="172" spans="1:1" ht="13.5" customHeight="1">
      <c r="A172" s="12"/>
    </row>
    <row r="173" spans="1:1" ht="13.5" customHeight="1">
      <c r="A173" s="12"/>
    </row>
    <row r="174" spans="1:1" ht="13.5" customHeight="1">
      <c r="A174" s="12"/>
    </row>
    <row r="175" spans="1:1" ht="13.5" customHeight="1">
      <c r="A175" s="12"/>
    </row>
    <row r="176" spans="1:1" ht="13.5" customHeight="1">
      <c r="A176" s="12"/>
    </row>
    <row r="177" spans="1:1" ht="13.5" customHeight="1">
      <c r="A177" s="12"/>
    </row>
    <row r="178" spans="1:1" ht="13.5" customHeight="1">
      <c r="A178" s="12"/>
    </row>
  </sheetData>
  <customSheetViews>
    <customSheetView guid="{ECAD605C-AB83-4734-B66F-6ADEF748858F}" scale="65" showPageBreaks="1" fitToPage="1" printArea="1" showRuler="0" topLeftCell="A125">
      <selection activeCell="J162" sqref="J162"/>
      <rowBreaks count="1" manualBreakCount="1">
        <brk id="131" max="16383" man="1"/>
      </rowBreaks>
      <pageMargins left="0.5" right="0.5" top="0.5" bottom="0.5" header="0.5" footer="0.5"/>
      <printOptions horizontalCentered="1"/>
      <pageSetup scale="38" orientation="portrait" r:id="rId1"/>
      <headerFooter alignWithMargins="0">
        <oddHeader>&amp;C&amp;"Arial,Bold"&amp;28DRAFT</oddHeader>
        <oddFooter>&amp;C&amp;"Arial,Bold"&amp;28DRAFT</oddFooter>
      </headerFooter>
    </customSheetView>
    <customSheetView guid="{A81C0C90-8FC5-4D90-88FE-F0BCC0ABCCB0}" scale="65" showPageBreaks="1" fitToPage="1" showRuler="0" topLeftCell="A4">
      <selection activeCell="M21" sqref="M21"/>
      <rowBreaks count="1" manualBreakCount="1">
        <brk id="131" max="16383" man="1"/>
      </rowBreaks>
      <pageMargins left="0.5" right="0.5" top="0.5" bottom="0.5" header="0.5" footer="0.5"/>
      <printOptions horizontalCentered="1"/>
      <pageSetup scale="38" orientation="portrait" r:id="rId2"/>
      <headerFooter alignWithMargins="0">
        <oddHeader>&amp;C&amp;"Arial,Bold"&amp;28DRAFT</oddHeader>
        <oddFooter>&amp;C&amp;"Arial,Bold"&amp;28DRAFT</oddFooter>
      </headerFooter>
    </customSheetView>
    <customSheetView guid="{3C971B3B-4F1A-4A5F-87B7-49ECD435050C}" scale="65" showPageBreaks="1" fitToPage="1" showRuler="0" topLeftCell="A4">
      <selection activeCell="M21" sqref="M21"/>
      <rowBreaks count="1" manualBreakCount="1">
        <brk id="131" max="16383" man="1"/>
      </rowBreaks>
      <pageMargins left="0.5" right="0.5" top="0.5" bottom="0.5" header="0.5" footer="0.5"/>
      <printOptions horizontalCentered="1"/>
      <pageSetup scale="38" orientation="portrait" r:id="rId3"/>
      <headerFooter alignWithMargins="0">
        <oddHeader>&amp;C&amp;"Arial,Bold"&amp;28DRAFT</oddHeader>
        <oddFooter>&amp;C&amp;"Arial,Bold"&amp;28DRAFT</oddFooter>
      </headerFooter>
    </customSheetView>
    <customSheetView guid="{CD28C8E9-3CF9-4B7E-BA5C-9BCC30B9DAC7}" scale="65" fitToPage="1" showRuler="0" topLeftCell="C94">
      <selection activeCell="M103" sqref="M103"/>
      <rowBreaks count="1" manualBreakCount="1">
        <brk id="131" max="16383" man="1"/>
      </rowBreaks>
      <pageMargins left="0.5" right="0.5" top="0.5" bottom="0.5" header="0.5" footer="0.5"/>
      <printOptions horizontalCentered="1"/>
      <pageSetup scale="37" orientation="portrait" r:id="rId4"/>
      <headerFooter alignWithMargins="0">
        <oddHeader>&amp;C&amp;"Arial,Bold"&amp;28DRAFT</oddHeader>
        <oddFooter>&amp;C&amp;"Arial,Bold"&amp;28DRAFT</oddFooter>
      </headerFooter>
    </customSheetView>
  </customSheetViews>
  <mergeCells count="6">
    <mergeCell ref="A136:A137"/>
    <mergeCell ref="C100:D100"/>
    <mergeCell ref="C101:D101"/>
    <mergeCell ref="C9:D9"/>
    <mergeCell ref="A47:A48"/>
    <mergeCell ref="A92:A93"/>
  </mergeCells>
  <phoneticPr fontId="0" type="noConversion"/>
  <hyperlinks>
    <hyperlink ref="C1" location="Index!A1" display="Return to Index"/>
  </hyperlinks>
  <printOptions horizontalCentered="1"/>
  <pageMargins left="0.5" right="0.5" top="0.25" bottom="0.25" header="0.25" footer="0.25"/>
  <pageSetup scale="41" orientation="portrait" r:id="rId5"/>
  <headerFooter alignWithMargins="0"/>
  <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
    <tabColor indexed="13"/>
  </sheetPr>
  <dimension ref="A1:AD85"/>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E1" sqref="E1"/>
    </sheetView>
  </sheetViews>
  <sheetFormatPr defaultColWidth="9.140625" defaultRowHeight="12.75"/>
  <cols>
    <col min="1" max="1" width="68.7109375" style="2" customWidth="1"/>
    <col min="2" max="2" width="17.85546875" style="2" customWidth="1"/>
    <col min="3" max="3" width="14.7109375" style="2" customWidth="1"/>
    <col min="4" max="4" width="16" style="51" customWidth="1"/>
    <col min="5" max="5" width="14.7109375" style="51" customWidth="1"/>
    <col min="6" max="6" width="17" style="51" customWidth="1"/>
    <col min="7" max="7" width="18.28515625" style="51" customWidth="1"/>
    <col min="8" max="8" width="23.28515625" style="51" customWidth="1"/>
    <col min="9" max="9" width="16" style="51" customWidth="1"/>
    <col min="10" max="10" width="14.28515625" style="51" customWidth="1"/>
    <col min="11" max="11" width="15.7109375" style="51" customWidth="1"/>
    <col min="12" max="12" width="15.42578125" style="51" customWidth="1"/>
    <col min="13" max="13" width="14.42578125" style="51" customWidth="1"/>
    <col min="14" max="15" width="14.28515625" style="51" customWidth="1"/>
    <col min="16" max="16384" width="9.140625" style="2"/>
  </cols>
  <sheetData>
    <row r="1" spans="1:15" ht="17.25" thickTop="1" thickBot="1">
      <c r="A1" s="142" t="str">
        <f>'SWM Chts'!$A$1</f>
        <v>The University of Texas Southwestern Medical Center</v>
      </c>
      <c r="B1" s="1"/>
      <c r="C1" s="1"/>
      <c r="E1" s="737" t="s">
        <v>1123</v>
      </c>
      <c r="F1" s="1249" t="s">
        <v>1158</v>
      </c>
      <c r="G1" s="1250"/>
      <c r="H1" s="1250"/>
      <c r="I1" s="1251"/>
      <c r="J1" s="1244"/>
      <c r="K1" s="1245"/>
      <c r="L1" s="1245"/>
      <c r="M1" s="1245"/>
      <c r="N1" s="1245"/>
      <c r="O1" s="1246"/>
    </row>
    <row r="2" spans="1:15" ht="16.5" thickTop="1">
      <c r="A2" s="23" t="str">
        <f>'Smmy Chts'!$A$2</f>
        <v>For the Year Ended August 31, 2018</v>
      </c>
      <c r="B2" s="1"/>
      <c r="C2" s="1"/>
      <c r="D2" s="565"/>
      <c r="E2" s="565"/>
      <c r="F2" s="565"/>
      <c r="G2" s="1101">
        <f>VLOOKUP(A1,NamesLU,2,FALSE)</f>
        <v>30</v>
      </c>
      <c r="J2" s="565"/>
      <c r="K2" s="565"/>
      <c r="L2" s="565"/>
      <c r="M2" s="565"/>
    </row>
    <row r="3" spans="1:15" ht="15.75" customHeight="1">
      <c r="A3" s="23" t="str">
        <f>'Smmy Chts'!$A$3</f>
        <v>Source: FY 2018 Annual Financial Report</v>
      </c>
      <c r="B3" s="1"/>
      <c r="C3" s="1"/>
    </row>
    <row r="4" spans="1:15" ht="13.5" customHeight="1">
      <c r="B4" s="4"/>
      <c r="C4" s="4"/>
      <c r="D4" s="1270" t="s">
        <v>1081</v>
      </c>
      <c r="E4" s="1247" t="s">
        <v>1279</v>
      </c>
      <c r="F4" s="296"/>
    </row>
    <row r="5" spans="1:15" ht="18">
      <c r="A5" s="41" t="str">
        <f>'Smmy Chts'!$C$35</f>
        <v>Summary Worksheet FY 2018</v>
      </c>
      <c r="B5" s="42" t="s">
        <v>90</v>
      </c>
      <c r="C5" s="77" t="s">
        <v>136</v>
      </c>
      <c r="D5" s="1271"/>
      <c r="E5" s="1248"/>
      <c r="F5" s="296"/>
      <c r="G5" s="680" t="s">
        <v>1112</v>
      </c>
      <c r="I5" s="681" t="s">
        <v>1393</v>
      </c>
      <c r="J5" s="682" t="s">
        <v>136</v>
      </c>
    </row>
    <row r="6" spans="1:15" ht="13.5" customHeight="1">
      <c r="A6" s="78" t="s">
        <v>175</v>
      </c>
      <c r="B6" s="5"/>
      <c r="C6" s="43">
        <f>VLOOKUP($G$2,FTSELU,10,FALSE)</f>
        <v>2166.6799999999998</v>
      </c>
      <c r="J6" s="643"/>
    </row>
    <row r="7" spans="1:15">
      <c r="B7" s="5"/>
      <c r="C7" s="5"/>
      <c r="I7" s="683" t="s">
        <v>1114</v>
      </c>
      <c r="J7" s="684"/>
    </row>
    <row r="8" spans="1:15">
      <c r="A8" s="15" t="s">
        <v>74</v>
      </c>
      <c r="B8" s="15"/>
      <c r="C8" s="15"/>
      <c r="I8" s="685">
        <f>VLOOKUP($G$2,FTSELU,11,FALSE)</f>
        <v>2228.16</v>
      </c>
      <c r="J8" s="643"/>
    </row>
    <row r="9" spans="1:15" ht="12.75" customHeight="1" thickBot="1">
      <c r="A9" s="6" t="s">
        <v>0</v>
      </c>
      <c r="B9" s="8"/>
      <c r="C9" s="143" t="s">
        <v>139</v>
      </c>
      <c r="J9" s="643"/>
    </row>
    <row r="10" spans="1:15" ht="12.75" customHeight="1" thickTop="1">
      <c r="A10" s="74" t="s">
        <v>1108</v>
      </c>
      <c r="B10" s="44">
        <f>'SWM FGD'!M10</f>
        <v>191118600</v>
      </c>
      <c r="C10" s="83">
        <f>ROUND(B10/$C$6,0)</f>
        <v>88208</v>
      </c>
      <c r="D10" s="143">
        <f>'SWM FGD'!F10</f>
        <v>0</v>
      </c>
      <c r="E10" s="143"/>
      <c r="F10" s="84">
        <f>B10-(SUM(D10:E10))</f>
        <v>191118600</v>
      </c>
      <c r="G10" s="980" t="s">
        <v>1</v>
      </c>
      <c r="H10" s="981"/>
      <c r="I10" s="686" t="s">
        <v>1115</v>
      </c>
      <c r="J10" s="644">
        <f>ROUND(F10/$C$6,0)</f>
        <v>88208</v>
      </c>
    </row>
    <row r="11" spans="1:15" ht="12.75" customHeight="1" thickBot="1">
      <c r="A11" s="2" t="s">
        <v>2</v>
      </c>
      <c r="B11" s="45">
        <f>'SWM FGD'!M11</f>
        <v>42040698</v>
      </c>
      <c r="C11" s="86">
        <f t="shared" ref="C11:C14" si="0">ROUND(B11/$C$6,0)</f>
        <v>19403</v>
      </c>
      <c r="D11" s="284">
        <f>'SWM FGD'!F11</f>
        <v>0</v>
      </c>
      <c r="E11" s="73"/>
      <c r="F11" s="566">
        <f t="shared" ref="F11:F14" si="1">B11-(SUM(D11:E11))</f>
        <v>42040698</v>
      </c>
      <c r="G11" s="987">
        <f>SUM(F10:F11)</f>
        <v>233159298</v>
      </c>
      <c r="H11" s="777"/>
      <c r="I11" s="791">
        <f>ROUND($G$11/$C$6,0)</f>
        <v>107611</v>
      </c>
      <c r="J11" s="645">
        <f t="shared" ref="J11:J14" si="2">ROUND(F11/$C$6,0)</f>
        <v>19403</v>
      </c>
    </row>
    <row r="12" spans="1:15" ht="12.75" hidden="1" customHeight="1" thickTop="1" thickBot="1">
      <c r="A12" s="51" t="s">
        <v>1345</v>
      </c>
      <c r="B12" s="45"/>
      <c r="C12" s="86"/>
      <c r="D12" s="284"/>
      <c r="E12" s="73"/>
      <c r="F12" s="567"/>
      <c r="J12" s="645"/>
      <c r="O12" s="568"/>
    </row>
    <row r="13" spans="1:15" ht="12.75" customHeight="1" thickTop="1">
      <c r="A13" s="2" t="s">
        <v>1298</v>
      </c>
      <c r="B13" s="45">
        <f>'SWM FGD'!M13</f>
        <v>0</v>
      </c>
      <c r="C13" s="86">
        <f t="shared" si="0"/>
        <v>0</v>
      </c>
      <c r="D13" s="284">
        <f>'SWM FGD'!F13</f>
        <v>0</v>
      </c>
      <c r="E13" s="73"/>
      <c r="F13" s="786">
        <f t="shared" si="1"/>
        <v>0</v>
      </c>
      <c r="G13" s="780" t="s">
        <v>86</v>
      </c>
      <c r="H13" s="787"/>
      <c r="I13" s="731" t="s">
        <v>1116</v>
      </c>
      <c r="J13" s="645">
        <f t="shared" si="2"/>
        <v>0</v>
      </c>
    </row>
    <row r="14" spans="1:15" ht="12.75" customHeight="1" thickBot="1">
      <c r="A14" s="2" t="s">
        <v>46</v>
      </c>
      <c r="B14" s="45">
        <f>'SWM FGD'!M14</f>
        <v>0</v>
      </c>
      <c r="C14" s="86">
        <f t="shared" si="0"/>
        <v>0</v>
      </c>
      <c r="D14" s="284">
        <f>'SWM FGD'!F14</f>
        <v>0</v>
      </c>
      <c r="E14" s="73"/>
      <c r="F14" s="567">
        <f t="shared" si="1"/>
        <v>0</v>
      </c>
      <c r="G14" s="687">
        <f>SUM(F13:F14)</f>
        <v>0</v>
      </c>
      <c r="H14" s="788"/>
      <c r="I14" s="792">
        <f>ROUND($G$11/$I$8,0)</f>
        <v>104642</v>
      </c>
      <c r="J14" s="689">
        <f t="shared" si="2"/>
        <v>0</v>
      </c>
    </row>
    <row r="15" spans="1:15" ht="12.75" customHeight="1" thickTop="1">
      <c r="A15" s="9" t="s">
        <v>3</v>
      </c>
      <c r="B15" s="46">
        <f>SUM(B10:B14)</f>
        <v>233159298</v>
      </c>
      <c r="C15" s="88">
        <f>SUM(C10:C14)</f>
        <v>107611</v>
      </c>
      <c r="D15" s="88">
        <f>SUM(D10:D14)</f>
        <v>0</v>
      </c>
      <c r="E15" s="88">
        <f>SUM(E10:E14)</f>
        <v>0</v>
      </c>
      <c r="F15" s="646">
        <f>SUM(F10:F14)</f>
        <v>233159298</v>
      </c>
      <c r="I15" s="785"/>
      <c r="J15" s="669">
        <f>SUM(J10:J14)</f>
        <v>107611</v>
      </c>
    </row>
    <row r="16" spans="1:15">
      <c r="C16" s="74"/>
      <c r="J16" s="643"/>
    </row>
    <row r="17" spans="1:11" ht="12.75" customHeight="1">
      <c r="A17" s="6" t="s">
        <v>4</v>
      </c>
      <c r="C17" s="74"/>
      <c r="J17" s="643"/>
    </row>
    <row r="18" spans="1:11">
      <c r="A18" s="2" t="s">
        <v>37</v>
      </c>
      <c r="B18" s="44">
        <f>'SWM FGD'!M29</f>
        <v>24578595</v>
      </c>
      <c r="C18" s="83">
        <f t="shared" ref="C18:C19" si="3">ROUND(B18/$C$6,0)</f>
        <v>11344</v>
      </c>
      <c r="D18" s="143">
        <f>'SWM FGD'!$F$29</f>
        <v>0</v>
      </c>
      <c r="E18" s="143"/>
      <c r="F18" s="143">
        <f t="shared" ref="F18:F19" si="4">B18-(SUM(D18:E18))</f>
        <v>24578595</v>
      </c>
      <c r="G18" s="351"/>
      <c r="H18" s="351"/>
      <c r="I18" s="351"/>
      <c r="J18" s="644">
        <f>ROUND(F18/$C$6,0)</f>
        <v>11344</v>
      </c>
    </row>
    <row r="19" spans="1:11" ht="13.5" thickBot="1">
      <c r="A19" s="2" t="s">
        <v>38</v>
      </c>
      <c r="B19" s="45">
        <f>'SWM FGD'!M42</f>
        <v>2448934</v>
      </c>
      <c r="C19" s="86">
        <f t="shared" si="3"/>
        <v>1130</v>
      </c>
      <c r="D19" s="73">
        <f>'SWM FGD'!$F$42</f>
        <v>1504770</v>
      </c>
      <c r="E19" s="73"/>
      <c r="F19" s="73">
        <f t="shared" si="4"/>
        <v>944164</v>
      </c>
      <c r="G19" s="351"/>
      <c r="H19" s="351"/>
      <c r="I19" s="351"/>
      <c r="J19" s="645">
        <f>ROUND(F19/$C$6,0)</f>
        <v>436</v>
      </c>
    </row>
    <row r="20" spans="1:11" ht="14.25" thickTop="1" thickBot="1">
      <c r="A20" s="9" t="s">
        <v>5</v>
      </c>
      <c r="B20" s="46">
        <f>SUM(B18:B19)</f>
        <v>27027529</v>
      </c>
      <c r="C20" s="88">
        <f>SUM(C18:C19)</f>
        <v>12474</v>
      </c>
      <c r="D20" s="647">
        <f>SUM(D18:D19)</f>
        <v>1504770</v>
      </c>
      <c r="E20" s="648">
        <f>SUM(E18:E19)</f>
        <v>0</v>
      </c>
      <c r="F20" s="690">
        <f>SUM(F18:F19)</f>
        <v>25522759</v>
      </c>
      <c r="G20" s="650" t="s">
        <v>87</v>
      </c>
      <c r="H20" s="569"/>
      <c r="I20" s="570"/>
      <c r="J20" s="651">
        <f>SUM(J18:J19)</f>
        <v>11780</v>
      </c>
    </row>
    <row r="21" spans="1:11" ht="12.75" customHeight="1" thickTop="1">
      <c r="C21" s="74"/>
      <c r="F21" s="691"/>
      <c r="J21" s="643"/>
    </row>
    <row r="22" spans="1:11" ht="14.25" customHeight="1" thickBot="1">
      <c r="A22" s="6" t="s">
        <v>6</v>
      </c>
      <c r="C22" s="74"/>
      <c r="J22" s="643"/>
    </row>
    <row r="23" spans="1:11" ht="14.25" thickTop="1" thickBot="1">
      <c r="A23" s="9" t="s">
        <v>7</v>
      </c>
      <c r="B23" s="46">
        <f>'SWM FGD'!M47</f>
        <v>201008263</v>
      </c>
      <c r="C23" s="88"/>
      <c r="D23" s="647">
        <f>'SWM FGD'!F47</f>
        <v>0</v>
      </c>
      <c r="E23" s="648"/>
      <c r="F23" s="690">
        <f>B23-(SUM(D23:E23))</f>
        <v>201008263</v>
      </c>
      <c r="G23" s="652" t="s">
        <v>1162</v>
      </c>
      <c r="H23" s="569"/>
      <c r="I23" s="570"/>
      <c r="J23" s="668">
        <f>ROUND(F23/$C$6,0)</f>
        <v>92772</v>
      </c>
    </row>
    <row r="24" spans="1:11" ht="13.5" thickTop="1">
      <c r="C24" s="74"/>
      <c r="J24" s="643"/>
    </row>
    <row r="25" spans="1:11">
      <c r="A25" s="6" t="s">
        <v>57</v>
      </c>
      <c r="C25" s="74"/>
      <c r="D25" s="73"/>
      <c r="H25" s="351"/>
      <c r="J25" s="643"/>
    </row>
    <row r="26" spans="1:11">
      <c r="A26" s="9" t="s">
        <v>56</v>
      </c>
      <c r="B26" s="46">
        <f>'SWM FGD'!M50</f>
        <v>665714950</v>
      </c>
      <c r="C26" s="88"/>
      <c r="D26" s="88">
        <f>'SWM FGD'!F50</f>
        <v>0</v>
      </c>
      <c r="E26" s="88">
        <f>B26-D26</f>
        <v>665714950</v>
      </c>
      <c r="F26" s="88">
        <f t="shared" ref="F26" si="5">B26-(SUM(D26:E26))</f>
        <v>0</v>
      </c>
      <c r="G26" s="570"/>
      <c r="H26" s="570"/>
      <c r="I26" s="351"/>
      <c r="J26" s="644"/>
    </row>
    <row r="27" spans="1:11">
      <c r="C27" s="74"/>
      <c r="D27" s="357"/>
      <c r="E27" s="782"/>
      <c r="F27" s="570"/>
      <c r="G27" s="570"/>
      <c r="H27" s="570"/>
      <c r="I27" s="351"/>
      <c r="J27" s="645"/>
    </row>
    <row r="28" spans="1:11">
      <c r="A28" s="6" t="s">
        <v>55</v>
      </c>
      <c r="C28" s="74"/>
      <c r="D28" s="284"/>
      <c r="E28" s="348"/>
      <c r="F28" s="570"/>
      <c r="G28" s="570"/>
      <c r="H28" s="570"/>
      <c r="I28" s="351"/>
      <c r="J28" s="645"/>
    </row>
    <row r="29" spans="1:11">
      <c r="A29" s="9" t="s">
        <v>56</v>
      </c>
      <c r="B29" s="46">
        <f>'SWM FGD'!M53</f>
        <v>1308148971</v>
      </c>
      <c r="C29" s="88"/>
      <c r="D29" s="88">
        <f>'SWM FGD'!F53</f>
        <v>0</v>
      </c>
      <c r="E29" s="88">
        <f>B29-D29</f>
        <v>1308148971</v>
      </c>
      <c r="F29" s="88">
        <f t="shared" ref="F29" si="6">B29-(SUM(D29:E29))</f>
        <v>0</v>
      </c>
      <c r="G29" s="570"/>
      <c r="H29" s="570"/>
      <c r="I29" s="351"/>
      <c r="J29" s="645"/>
    </row>
    <row r="30" spans="1:11">
      <c r="C30" s="74"/>
      <c r="E30" s="73"/>
      <c r="F30" s="73"/>
      <c r="G30" s="351"/>
      <c r="H30" s="351"/>
      <c r="I30" s="351"/>
      <c r="J30" s="645"/>
    </row>
    <row r="31" spans="1:11" ht="13.5" customHeight="1">
      <c r="A31" s="6" t="s">
        <v>8</v>
      </c>
      <c r="C31" s="74"/>
      <c r="E31" s="73"/>
      <c r="F31" s="73"/>
      <c r="G31" s="24"/>
      <c r="H31" s="24"/>
      <c r="I31" s="577"/>
      <c r="J31" s="645"/>
    </row>
    <row r="32" spans="1:11" ht="14.25" customHeight="1">
      <c r="A32" s="2" t="s">
        <v>40</v>
      </c>
      <c r="B32" s="44">
        <f>'SWM FGD'!M56</f>
        <v>133254944</v>
      </c>
      <c r="C32" s="83"/>
      <c r="D32" s="143">
        <f>'SWM FGD'!F56</f>
        <v>2278</v>
      </c>
      <c r="E32" s="143"/>
      <c r="F32" s="143">
        <f t="shared" ref="F32:F37" si="7">B32-(SUM(D32:E32))</f>
        <v>133252666</v>
      </c>
      <c r="G32" s="351"/>
      <c r="H32" s="351"/>
      <c r="I32" s="351"/>
      <c r="J32" s="644">
        <f>ROUND(F32/$C$6,0)</f>
        <v>61501</v>
      </c>
      <c r="K32" s="51" t="s">
        <v>1083</v>
      </c>
    </row>
    <row r="33" spans="1:30">
      <c r="A33" s="2" t="s">
        <v>9</v>
      </c>
      <c r="B33" s="45">
        <f>'SWM FGD'!M57</f>
        <v>209031879</v>
      </c>
      <c r="C33" s="86"/>
      <c r="D33" s="284">
        <f>'SWM FGD'!F57</f>
        <v>0</v>
      </c>
      <c r="E33" s="73"/>
      <c r="F33" s="73">
        <f t="shared" si="7"/>
        <v>209031879</v>
      </c>
      <c r="G33" s="351"/>
      <c r="H33" s="351"/>
      <c r="I33" s="351"/>
      <c r="J33" s="645">
        <f t="shared" ref="J33:J37" si="8">ROUND(F33/$C$6,0)</f>
        <v>96476</v>
      </c>
    </row>
    <row r="34" spans="1:30" ht="13.5" thickBot="1">
      <c r="A34" s="2" t="s">
        <v>10</v>
      </c>
      <c r="B34" s="45">
        <f>'SWM FGD'!M58</f>
        <v>172392594</v>
      </c>
      <c r="C34" s="86"/>
      <c r="D34" s="284">
        <f>'SWM FGD'!F58</f>
        <v>0</v>
      </c>
      <c r="E34" s="73"/>
      <c r="F34" s="73">
        <f t="shared" si="7"/>
        <v>172392594</v>
      </c>
      <c r="G34" s="351"/>
      <c r="H34" s="351"/>
      <c r="I34" s="351"/>
      <c r="J34" s="645">
        <f t="shared" si="8"/>
        <v>79565</v>
      </c>
    </row>
    <row r="35" spans="1:30" ht="13.5" thickBot="1">
      <c r="A35" s="2" t="s">
        <v>11</v>
      </c>
      <c r="B35" s="45">
        <f>'SWM FGD'!M59</f>
        <v>9620654</v>
      </c>
      <c r="C35" s="86"/>
      <c r="D35" s="284">
        <f>'SWM FGD'!F59</f>
        <v>0</v>
      </c>
      <c r="E35" s="73"/>
      <c r="F35" s="73">
        <f t="shared" si="7"/>
        <v>9620654</v>
      </c>
      <c r="G35" s="351"/>
      <c r="H35" s="351"/>
      <c r="I35" s="351"/>
      <c r="J35" s="645">
        <f t="shared" si="8"/>
        <v>4440</v>
      </c>
      <c r="K35" s="1262"/>
      <c r="L35" s="1245"/>
      <c r="M35" s="1245"/>
      <c r="N35" s="1245"/>
      <c r="O35" s="1246"/>
    </row>
    <row r="36" spans="1:30" ht="13.5" thickBot="1">
      <c r="A36" s="296" t="s">
        <v>1362</v>
      </c>
      <c r="B36" s="45">
        <f>'SWM FGD'!M60</f>
        <v>26351428</v>
      </c>
      <c r="C36" s="86"/>
      <c r="D36" s="284">
        <f>'SWM FGD'!F60</f>
        <v>26351428</v>
      </c>
      <c r="E36" s="73"/>
      <c r="F36" s="73">
        <f t="shared" si="7"/>
        <v>0</v>
      </c>
      <c r="G36" s="351"/>
      <c r="H36" s="351"/>
      <c r="I36" s="351"/>
      <c r="J36" s="645">
        <f t="shared" si="8"/>
        <v>0</v>
      </c>
      <c r="K36" s="1262" t="s">
        <v>1017</v>
      </c>
      <c r="L36" s="1245"/>
      <c r="M36" s="1245"/>
      <c r="N36" s="1245"/>
      <c r="O36" s="1246"/>
    </row>
    <row r="37" spans="1:30" ht="13.5" customHeight="1" thickBot="1">
      <c r="A37" s="10" t="s">
        <v>41</v>
      </c>
      <c r="B37" s="45">
        <f>'SWM FGD'!M61</f>
        <v>139721716</v>
      </c>
      <c r="C37" s="86"/>
      <c r="D37" s="284">
        <f>'SWM FGD'!F61</f>
        <v>0</v>
      </c>
      <c r="E37" s="73"/>
      <c r="F37" s="73">
        <f t="shared" si="7"/>
        <v>139721716</v>
      </c>
      <c r="G37" s="24"/>
      <c r="H37" s="24"/>
      <c r="I37" s="577"/>
      <c r="J37" s="645">
        <f t="shared" si="8"/>
        <v>64487</v>
      </c>
      <c r="K37" s="1263" t="s">
        <v>1020</v>
      </c>
      <c r="L37" s="1263" t="s">
        <v>1018</v>
      </c>
      <c r="M37" s="1263" t="s">
        <v>1019</v>
      </c>
      <c r="N37" s="1263" t="s">
        <v>1278</v>
      </c>
      <c r="O37" s="1263" t="s">
        <v>1022</v>
      </c>
      <c r="P37" s="24"/>
      <c r="Q37" s="24"/>
      <c r="R37" s="24"/>
      <c r="S37" s="24"/>
      <c r="T37" s="24"/>
      <c r="U37" s="24"/>
      <c r="V37" s="24"/>
      <c r="W37" s="24"/>
      <c r="X37" s="24"/>
      <c r="Y37" s="24"/>
      <c r="Z37" s="24"/>
      <c r="AA37" s="24"/>
      <c r="AB37" s="24"/>
      <c r="AC37" s="24"/>
      <c r="AD37" s="24"/>
    </row>
    <row r="38" spans="1:30" ht="14.25" customHeight="1" thickTop="1" thickBot="1">
      <c r="A38" s="9" t="s">
        <v>3</v>
      </c>
      <c r="B38" s="46">
        <f>SUM(B32:B37)</f>
        <v>690373215</v>
      </c>
      <c r="C38" s="88"/>
      <c r="D38" s="291">
        <f>SUM(D32:D37)</f>
        <v>26353706</v>
      </c>
      <c r="E38" s="291">
        <f>SUM(E32:E37)</f>
        <v>0</v>
      </c>
      <c r="F38" s="692">
        <f>SUM(F32:F37)</f>
        <v>664019509</v>
      </c>
      <c r="G38" s="1259" t="s">
        <v>8</v>
      </c>
      <c r="H38" s="1260"/>
      <c r="I38" s="693" t="s">
        <v>1118</v>
      </c>
      <c r="J38" s="653">
        <f>SUM(J32:J37)</f>
        <v>306469</v>
      </c>
      <c r="K38" s="1264"/>
      <c r="L38" s="1264"/>
      <c r="M38" s="1264"/>
      <c r="N38" s="1264" t="s">
        <v>1021</v>
      </c>
      <c r="O38" s="1264" t="s">
        <v>1022</v>
      </c>
    </row>
    <row r="39" spans="1:30" ht="13.5" thickTop="1">
      <c r="A39" s="11" t="s">
        <v>71</v>
      </c>
      <c r="B39" s="47">
        <f>B15+B20+B23+B26+B29+B38</f>
        <v>3125432226</v>
      </c>
      <c r="C39" s="139"/>
      <c r="D39" s="47">
        <f>D15+D20+D23+D26+D29+D38</f>
        <v>27858476</v>
      </c>
      <c r="E39" s="47">
        <f>E15+E20+E23+E26+E29+E38</f>
        <v>1973863921</v>
      </c>
      <c r="F39" s="778">
        <f>F38+F23+F20+F15</f>
        <v>1123709829</v>
      </c>
      <c r="G39" s="1261" t="s">
        <v>89</v>
      </c>
      <c r="H39" s="1261"/>
      <c r="I39" s="793">
        <f>ROUND($G$41/$C$6,0)</f>
        <v>518632</v>
      </c>
      <c r="J39" s="654">
        <f>J15+J20+J23+J38</f>
        <v>518632</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15" t="s">
        <v>75</v>
      </c>
      <c r="B41" s="15"/>
      <c r="C41" s="81"/>
      <c r="D41" s="656"/>
      <c r="E41" s="656"/>
      <c r="F41" s="694" t="s">
        <v>1119</v>
      </c>
      <c r="G41" s="695">
        <f>F39+G40</f>
        <v>1123709829</v>
      </c>
      <c r="I41" s="1046">
        <f>ROUND($G$41/$I$8,0)</f>
        <v>504322</v>
      </c>
      <c r="K41" s="571"/>
      <c r="L41" s="571"/>
      <c r="M41" s="571"/>
      <c r="N41" s="571"/>
      <c r="O41" s="571"/>
    </row>
    <row r="42" spans="1:30" ht="13.5" thickTop="1">
      <c r="A42" s="7" t="s">
        <v>14</v>
      </c>
      <c r="B42" s="44">
        <f>'SWM FGD'!M65</f>
        <v>951791832</v>
      </c>
      <c r="C42" s="83">
        <f t="shared" ref="C42:C52" si="9">ROUND(B42/$C$6,0)</f>
        <v>439286</v>
      </c>
      <c r="D42" s="143">
        <f>'SWM FGD'!F65</f>
        <v>0</v>
      </c>
      <c r="E42" s="143"/>
      <c r="F42" s="143">
        <f t="shared" ref="F42" si="10">B42-(SUM(D42:E42))</f>
        <v>951791832</v>
      </c>
      <c r="G42" s="351"/>
      <c r="H42" s="1048" t="s">
        <v>1394</v>
      </c>
      <c r="I42" s="1047">
        <f>ROUND(F42/$C$6,0)</f>
        <v>439286</v>
      </c>
      <c r="J42" s="351" t="s">
        <v>669</v>
      </c>
      <c r="K42" s="143">
        <f>F42</f>
        <v>951791832</v>
      </c>
      <c r="L42" s="143">
        <f>K42</f>
        <v>951791832</v>
      </c>
      <c r="M42" s="143"/>
      <c r="N42" s="143"/>
      <c r="O42" s="143"/>
    </row>
    <row r="43" spans="1:30">
      <c r="A43" s="7" t="s">
        <v>15</v>
      </c>
      <c r="B43" s="45">
        <f>'SWM FGD'!M66</f>
        <v>363136707</v>
      </c>
      <c r="C43" s="86">
        <f t="shared" si="9"/>
        <v>167601</v>
      </c>
      <c r="D43" s="357">
        <f>'SWM FGD'!F66</f>
        <v>0</v>
      </c>
      <c r="E43" s="73"/>
      <c r="F43" s="73">
        <f t="shared" ref="F43:F44" si="11">B43-(SUM(D43:E43))</f>
        <v>363136707</v>
      </c>
      <c r="G43" s="351"/>
      <c r="H43" s="351"/>
      <c r="J43" s="351" t="s">
        <v>1093</v>
      </c>
      <c r="K43" s="357">
        <f>F43</f>
        <v>363136707</v>
      </c>
      <c r="L43" s="357">
        <f>K43</f>
        <v>363136707</v>
      </c>
      <c r="M43" s="357"/>
      <c r="N43" s="357"/>
      <c r="O43" s="357"/>
    </row>
    <row r="44" spans="1:30">
      <c r="A44" s="7" t="s">
        <v>16</v>
      </c>
      <c r="B44" s="45">
        <f>'SWM FGD'!M67</f>
        <v>31194857</v>
      </c>
      <c r="C44" s="86"/>
      <c r="D44" s="357">
        <f>'SWM FGD'!F67</f>
        <v>0</v>
      </c>
      <c r="E44" s="284">
        <f>B44-D44</f>
        <v>31194857</v>
      </c>
      <c r="F44" s="73">
        <f t="shared" si="11"/>
        <v>0</v>
      </c>
      <c r="G44" s="351"/>
      <c r="H44" s="351"/>
      <c r="I44" s="351"/>
      <c r="J44" s="351" t="s">
        <v>1094</v>
      </c>
      <c r="K44" s="670"/>
      <c r="L44" s="671"/>
      <c r="M44" s="671" t="s">
        <v>1095</v>
      </c>
      <c r="N44" s="671"/>
      <c r="O44" s="672"/>
    </row>
    <row r="45" spans="1:30">
      <c r="A45" s="20" t="s">
        <v>55</v>
      </c>
      <c r="B45" s="45">
        <f>'SWM FGD'!M68</f>
        <v>1210667716</v>
      </c>
      <c r="C45" s="86"/>
      <c r="D45" s="357">
        <f>'SWM FGD'!F68</f>
        <v>0</v>
      </c>
      <c r="E45" s="284">
        <f>B45-D45</f>
        <v>1210667716</v>
      </c>
      <c r="F45" s="73">
        <f t="shared" ref="F45" si="12">B45-(SUM(D45:E45))</f>
        <v>0</v>
      </c>
      <c r="G45" s="776"/>
      <c r="J45" s="51" t="s">
        <v>1096</v>
      </c>
      <c r="K45" s="1266" t="s">
        <v>1095</v>
      </c>
      <c r="L45" s="1267"/>
      <c r="M45" s="1267"/>
      <c r="N45" s="1267"/>
      <c r="O45" s="1268"/>
      <c r="P45" s="357"/>
    </row>
    <row r="46" spans="1:30">
      <c r="A46" s="7" t="s">
        <v>17</v>
      </c>
      <c r="B46" s="45">
        <f>'SWM FGD'!M69</f>
        <v>23866871</v>
      </c>
      <c r="C46" s="86">
        <f t="shared" si="9"/>
        <v>11015</v>
      </c>
      <c r="D46" s="357">
        <f>'SWM FGD'!F69</f>
        <v>0</v>
      </c>
      <c r="E46" s="73"/>
      <c r="F46" s="73">
        <f t="shared" ref="F46:F53" si="13">B46-(SUM(D46:E46))</f>
        <v>23866871</v>
      </c>
      <c r="G46" s="351"/>
      <c r="H46" s="1048" t="s">
        <v>1395</v>
      </c>
      <c r="I46" s="1047">
        <f>ROUND(F46/$C$6,0)</f>
        <v>11015</v>
      </c>
      <c r="J46" s="351" t="s">
        <v>1097</v>
      </c>
      <c r="K46" s="357">
        <f t="shared" ref="K46:K50" si="14">F46</f>
        <v>23866871</v>
      </c>
      <c r="L46" s="357">
        <f>K46</f>
        <v>23866871</v>
      </c>
      <c r="M46" s="357"/>
      <c r="N46" s="357"/>
      <c r="O46" s="357"/>
    </row>
    <row r="47" spans="1:30" ht="14.25" customHeight="1">
      <c r="A47" s="7" t="s">
        <v>18</v>
      </c>
      <c r="B47" s="45">
        <f>'SWM FGD'!M70</f>
        <v>4004422</v>
      </c>
      <c r="C47" s="86">
        <f t="shared" si="9"/>
        <v>1848</v>
      </c>
      <c r="D47" s="357">
        <f>'SWM FGD'!F70</f>
        <v>0</v>
      </c>
      <c r="E47" s="73"/>
      <c r="F47" s="73">
        <f t="shared" si="13"/>
        <v>4004422</v>
      </c>
      <c r="G47" s="351"/>
      <c r="H47" s="351"/>
      <c r="I47" s="351"/>
      <c r="J47" s="351" t="s">
        <v>1098</v>
      </c>
      <c r="K47" s="357">
        <f t="shared" si="14"/>
        <v>4004422</v>
      </c>
      <c r="L47" s="357"/>
      <c r="M47" s="357">
        <f>K47</f>
        <v>4004422</v>
      </c>
      <c r="N47" s="357"/>
      <c r="O47" s="357"/>
    </row>
    <row r="48" spans="1:30" ht="14.25" customHeight="1">
      <c r="A48" s="7" t="s">
        <v>19</v>
      </c>
      <c r="B48" s="45">
        <f>'SWM FGD'!M71</f>
        <v>70995819</v>
      </c>
      <c r="C48" s="86">
        <f t="shared" si="9"/>
        <v>32767</v>
      </c>
      <c r="D48" s="357">
        <f>'SWM FGD'!F71</f>
        <v>0</v>
      </c>
      <c r="E48" s="73"/>
      <c r="F48" s="73">
        <f t="shared" si="13"/>
        <v>70995819</v>
      </c>
      <c r="G48" s="351"/>
      <c r="H48" s="1048" t="s">
        <v>1396</v>
      </c>
      <c r="I48" s="1047">
        <f>ROUND(F48/$C$6,0)</f>
        <v>32767</v>
      </c>
      <c r="J48" s="351" t="s">
        <v>675</v>
      </c>
      <c r="K48" s="357">
        <f t="shared" si="14"/>
        <v>70995819</v>
      </c>
      <c r="L48" s="357"/>
      <c r="M48" s="357"/>
      <c r="N48" s="357">
        <f>K48</f>
        <v>70995819</v>
      </c>
      <c r="O48" s="357"/>
    </row>
    <row r="49" spans="1:30">
      <c r="A49" s="7" t="s">
        <v>20</v>
      </c>
      <c r="B49" s="45">
        <f>'SWM FGD'!M72</f>
        <v>83724272</v>
      </c>
      <c r="C49" s="86"/>
      <c r="D49" s="357">
        <f>'SWM FGD'!F72</f>
        <v>0</v>
      </c>
      <c r="E49" s="73"/>
      <c r="F49" s="73">
        <f t="shared" si="13"/>
        <v>83724272</v>
      </c>
      <c r="G49" s="351"/>
      <c r="H49" s="351"/>
      <c r="I49" s="351"/>
      <c r="J49" s="351" t="s">
        <v>676</v>
      </c>
      <c r="K49" s="357">
        <f t="shared" si="14"/>
        <v>83724272</v>
      </c>
      <c r="L49" s="357"/>
      <c r="M49" s="357"/>
      <c r="N49" s="357">
        <f>K49</f>
        <v>83724272</v>
      </c>
      <c r="O49" s="357"/>
    </row>
    <row r="50" spans="1:30">
      <c r="A50" s="7" t="s">
        <v>21</v>
      </c>
      <c r="B50" s="45">
        <f>'SWM FGD'!M73</f>
        <v>4460128</v>
      </c>
      <c r="C50" s="86">
        <f t="shared" si="9"/>
        <v>2059</v>
      </c>
      <c r="D50" s="357">
        <f>'SWM FGD'!F73</f>
        <v>0</v>
      </c>
      <c r="E50" s="73"/>
      <c r="F50" s="73">
        <f t="shared" si="13"/>
        <v>4460128</v>
      </c>
      <c r="G50" s="351"/>
      <c r="H50" s="351"/>
      <c r="I50" s="351"/>
      <c r="J50" s="351" t="s">
        <v>1099</v>
      </c>
      <c r="K50" s="357">
        <f t="shared" si="14"/>
        <v>4460128</v>
      </c>
      <c r="L50" s="357"/>
      <c r="M50" s="357">
        <f>K50</f>
        <v>4460128</v>
      </c>
      <c r="N50" s="357"/>
      <c r="O50" s="357"/>
    </row>
    <row r="51" spans="1:30">
      <c r="A51" s="935" t="s">
        <v>1363</v>
      </c>
      <c r="B51" s="45">
        <f>'SWM FGD'!M74</f>
        <v>24066743</v>
      </c>
      <c r="C51" s="86"/>
      <c r="D51" s="657">
        <f>B51</f>
        <v>24066743</v>
      </c>
      <c r="E51" s="73"/>
      <c r="F51" s="73">
        <f t="shared" si="13"/>
        <v>0</v>
      </c>
      <c r="G51" s="351"/>
      <c r="H51" s="351"/>
      <c r="I51" s="351"/>
      <c r="J51" s="351" t="s">
        <v>660</v>
      </c>
      <c r="K51" s="670"/>
      <c r="L51" s="671"/>
      <c r="M51" s="671" t="s">
        <v>1095</v>
      </c>
      <c r="N51" s="671"/>
      <c r="O51" s="672"/>
    </row>
    <row r="52" spans="1:30">
      <c r="A52" s="7" t="s">
        <v>65</v>
      </c>
      <c r="B52" s="45">
        <f>'SWM FGD'!M75</f>
        <v>14443657</v>
      </c>
      <c r="C52" s="86">
        <f t="shared" si="9"/>
        <v>6666</v>
      </c>
      <c r="D52" s="357">
        <f>'SWM FGD'!F75</f>
        <v>13510</v>
      </c>
      <c r="E52" s="73"/>
      <c r="F52" s="73">
        <f t="shared" si="13"/>
        <v>14430147</v>
      </c>
      <c r="G52" s="351"/>
      <c r="J52" s="351" t="s">
        <v>1100</v>
      </c>
      <c r="K52" s="357">
        <f t="shared" ref="K52:K53" si="15">F52</f>
        <v>14430147</v>
      </c>
      <c r="L52" s="357"/>
      <c r="M52" s="357"/>
      <c r="N52" s="357"/>
      <c r="O52" s="357">
        <f>K52</f>
        <v>14430147</v>
      </c>
    </row>
    <row r="53" spans="1:30" ht="13.5" thickBot="1">
      <c r="A53" s="2" t="s">
        <v>47</v>
      </c>
      <c r="B53" s="45">
        <f>'SWM FGD'!M76</f>
        <v>7759542</v>
      </c>
      <c r="C53" s="86"/>
      <c r="D53" s="357">
        <f>'SWM FGD'!F76</f>
        <v>0</v>
      </c>
      <c r="E53" s="73"/>
      <c r="F53" s="73">
        <f t="shared" si="13"/>
        <v>7759542</v>
      </c>
      <c r="G53" s="24"/>
      <c r="H53" s="1048" t="s">
        <v>1397</v>
      </c>
      <c r="I53" s="1047">
        <f>ROUND(SUM(F43+F47+F49+F50+F52+F53)/$C$6,0)</f>
        <v>220390</v>
      </c>
      <c r="J53" s="572" t="s">
        <v>1022</v>
      </c>
      <c r="K53" s="357">
        <f t="shared" si="15"/>
        <v>7759542</v>
      </c>
      <c r="L53" s="573"/>
      <c r="M53" s="573"/>
      <c r="N53" s="573"/>
      <c r="O53" s="357">
        <f>K53</f>
        <v>7759542</v>
      </c>
      <c r="P53" s="24"/>
      <c r="Q53" s="24"/>
      <c r="R53" s="24"/>
      <c r="S53" s="24"/>
      <c r="T53" s="24"/>
      <c r="U53" s="24"/>
      <c r="V53" s="24"/>
      <c r="W53" s="24"/>
      <c r="X53" s="24"/>
      <c r="Y53" s="24"/>
      <c r="Z53" s="24"/>
      <c r="AA53" s="24"/>
      <c r="AB53" s="24"/>
      <c r="AC53" s="24"/>
      <c r="AD53" s="24"/>
    </row>
    <row r="54" spans="1:30" ht="14.25" customHeight="1" thickTop="1" thickBot="1">
      <c r="A54" s="14" t="s">
        <v>72</v>
      </c>
      <c r="B54" s="48">
        <f>SUM(B42:B53)</f>
        <v>2790112566</v>
      </c>
      <c r="C54" s="48"/>
      <c r="D54" s="48">
        <f>SUM(D42:D53)</f>
        <v>24080253</v>
      </c>
      <c r="E54" s="698">
        <f>SUM(E43:E53)</f>
        <v>1241862573</v>
      </c>
      <c r="F54" s="649">
        <f>SUM(F42:F53)</f>
        <v>1524169740</v>
      </c>
      <c r="G54" s="1279" t="s">
        <v>1121</v>
      </c>
      <c r="H54" s="1280"/>
      <c r="I54" s="697" t="s">
        <v>1398</v>
      </c>
      <c r="J54" s="572" t="s">
        <v>1101</v>
      </c>
      <c r="K54" s="574">
        <f>SUM(K42:K53)</f>
        <v>1524169740</v>
      </c>
      <c r="L54" s="574">
        <f t="shared" ref="L54:O54" si="16">SUM(L42:L53)</f>
        <v>1338795410</v>
      </c>
      <c r="M54" s="574">
        <f t="shared" si="16"/>
        <v>8464550</v>
      </c>
      <c r="N54" s="574">
        <f t="shared" si="16"/>
        <v>154720091</v>
      </c>
      <c r="O54" s="574">
        <f t="shared" si="16"/>
        <v>22189689</v>
      </c>
    </row>
    <row r="55" spans="1:30" ht="14.25" customHeight="1" thickTop="1" thickBot="1">
      <c r="A55" s="3"/>
      <c r="C55" s="74"/>
      <c r="F55" s="575"/>
      <c r="G55" s="1281"/>
      <c r="H55" s="1282"/>
      <c r="I55" s="699">
        <f>ROUND(F54/C6,0)</f>
        <v>703459</v>
      </c>
      <c r="J55" s="1258" t="s">
        <v>1102</v>
      </c>
      <c r="K55" s="573"/>
      <c r="L55" s="573"/>
      <c r="M55" s="573"/>
      <c r="N55" s="573"/>
      <c r="O55" s="573"/>
    </row>
    <row r="56" spans="1:30" ht="16.5" customHeight="1" thickBot="1">
      <c r="A56" s="6" t="s">
        <v>23</v>
      </c>
      <c r="C56" s="74"/>
      <c r="F56" s="576"/>
      <c r="G56" s="1283"/>
      <c r="H56" s="1284"/>
      <c r="I56" s="693" t="s">
        <v>1399</v>
      </c>
      <c r="J56" s="1258"/>
      <c r="K56" s="700">
        <f>ROUND(K54/$C$6,2)</f>
        <v>703458.63</v>
      </c>
      <c r="L56" s="700">
        <f t="shared" ref="L56:O56" si="17">ROUND(L54/$C$6,2)</f>
        <v>617901.77</v>
      </c>
      <c r="M56" s="700">
        <f t="shared" si="17"/>
        <v>3906.69</v>
      </c>
      <c r="N56" s="700">
        <f t="shared" si="17"/>
        <v>71408.83</v>
      </c>
      <c r="O56" s="700">
        <f t="shared" si="17"/>
        <v>10241.33</v>
      </c>
      <c r="P56" s="24"/>
      <c r="Q56" s="24"/>
      <c r="R56" s="24"/>
      <c r="S56" s="24"/>
      <c r="T56" s="24"/>
      <c r="U56" s="24"/>
      <c r="V56" s="24"/>
      <c r="W56" s="24"/>
      <c r="X56" s="24"/>
      <c r="Y56" s="24"/>
      <c r="Z56" s="24"/>
      <c r="AA56" s="24"/>
      <c r="AB56" s="24"/>
      <c r="AC56" s="24"/>
      <c r="AD56" s="24"/>
    </row>
    <row r="57" spans="1:30" ht="13.5" thickTop="1">
      <c r="A57" s="2" t="s">
        <v>66</v>
      </c>
      <c r="B57" s="45">
        <f>'SWM FGD'!M80</f>
        <v>-255246721</v>
      </c>
      <c r="C57" s="86"/>
      <c r="D57" s="143">
        <f>'SWM FGD'!F80</f>
        <v>0</v>
      </c>
      <c r="E57" s="143"/>
      <c r="F57" s="1045">
        <f t="shared" ref="F57:F60" si="18">B57-(SUM(D57:E57))</f>
        <v>-255246721</v>
      </c>
      <c r="G57" s="780"/>
      <c r="I57" s="794">
        <f>ROUND($F$54/$I$8,0)</f>
        <v>684049</v>
      </c>
      <c r="J57" s="577"/>
      <c r="K57" s="24"/>
      <c r="L57" s="24"/>
      <c r="M57" s="24"/>
      <c r="N57" s="24"/>
      <c r="O57" s="24"/>
      <c r="P57" s="24"/>
      <c r="Q57" s="24"/>
      <c r="R57" s="24"/>
      <c r="S57" s="24"/>
      <c r="T57" s="24"/>
      <c r="U57" s="24"/>
      <c r="V57" s="24"/>
      <c r="W57" s="24"/>
      <c r="X57" s="24"/>
      <c r="Y57" s="24"/>
      <c r="Z57" s="24"/>
      <c r="AA57" s="24"/>
      <c r="AB57" s="24"/>
      <c r="AC57" s="24"/>
      <c r="AD57" s="24"/>
    </row>
    <row r="58" spans="1:30">
      <c r="A58" s="51" t="s">
        <v>615</v>
      </c>
      <c r="B58" s="45">
        <f>'SWM FGD'!M81</f>
        <v>5145284</v>
      </c>
      <c r="C58" s="86"/>
      <c r="D58" s="285">
        <f>'SWM FGD'!F81</f>
        <v>9693902</v>
      </c>
      <c r="E58" s="82"/>
      <c r="F58" s="73">
        <f t="shared" si="18"/>
        <v>-4548618</v>
      </c>
      <c r="G58" s="351"/>
      <c r="J58" s="351"/>
      <c r="K58" s="578"/>
      <c r="L58" s="578"/>
      <c r="M58" s="578"/>
      <c r="N58" s="578"/>
      <c r="O58" s="578"/>
    </row>
    <row r="59" spans="1:30">
      <c r="A59" s="17" t="s">
        <v>52</v>
      </c>
      <c r="B59" s="45">
        <f>'SWM FGD'!M82</f>
        <v>93897679</v>
      </c>
      <c r="C59" s="86"/>
      <c r="D59" s="285">
        <f>'SWM FGD'!F82</f>
        <v>0</v>
      </c>
      <c r="E59" s="82"/>
      <c r="F59" s="73">
        <f t="shared" si="18"/>
        <v>93897679</v>
      </c>
      <c r="G59" s="24"/>
      <c r="J59" s="658"/>
      <c r="K59" s="658"/>
      <c r="L59" s="658"/>
      <c r="M59" s="658"/>
      <c r="N59" s="658"/>
      <c r="O59" s="658"/>
    </row>
    <row r="60" spans="1:30" ht="12" customHeight="1">
      <c r="A60" s="2" t="s">
        <v>43</v>
      </c>
      <c r="B60" s="45">
        <f>'SWM FGD'!M83</f>
        <v>-101745766</v>
      </c>
      <c r="C60" s="86"/>
      <c r="D60" s="285">
        <f>'SWM FGD'!F83</f>
        <v>-9353776</v>
      </c>
      <c r="E60" s="82"/>
      <c r="F60" s="73">
        <f t="shared" si="18"/>
        <v>-92391990</v>
      </c>
      <c r="G60" s="351"/>
      <c r="H60" s="351"/>
      <c r="J60" s="658"/>
      <c r="K60" s="658"/>
      <c r="L60" s="658"/>
      <c r="M60" s="658"/>
      <c r="N60" s="658"/>
      <c r="O60" s="658"/>
      <c r="P60" s="24"/>
      <c r="Q60" s="24"/>
      <c r="R60" s="24"/>
      <c r="S60" s="24"/>
      <c r="T60" s="24"/>
      <c r="U60" s="24"/>
      <c r="V60" s="24"/>
      <c r="W60" s="24"/>
      <c r="X60" s="24"/>
      <c r="Y60" s="24"/>
      <c r="Z60" s="24"/>
      <c r="AA60" s="24"/>
      <c r="AB60" s="24"/>
      <c r="AC60" s="24"/>
      <c r="AD60" s="24"/>
    </row>
    <row r="61" spans="1:30">
      <c r="A61" s="9" t="s">
        <v>3</v>
      </c>
      <c r="B61" s="46">
        <f>SUM(B57:B60)</f>
        <v>-257949524</v>
      </c>
      <c r="C61" s="88"/>
      <c r="D61" s="88">
        <f>SUM(D57:D60)</f>
        <v>340126</v>
      </c>
      <c r="E61" s="88">
        <f>SUM(E57:E60)</f>
        <v>0</v>
      </c>
      <c r="F61" s="99">
        <f>SUM(F57:F60)</f>
        <v>-258289650</v>
      </c>
      <c r="I61" s="351"/>
      <c r="J61" s="658"/>
      <c r="K61" s="658"/>
      <c r="L61" s="658"/>
      <c r="M61" s="658"/>
      <c r="N61" s="658"/>
      <c r="O61" s="658"/>
    </row>
    <row r="62" spans="1:30">
      <c r="C62" s="74"/>
    </row>
    <row r="63" spans="1:30">
      <c r="A63" s="6" t="s">
        <v>24</v>
      </c>
      <c r="C63" s="74"/>
      <c r="P63" s="24"/>
      <c r="Q63" s="24"/>
      <c r="R63" s="24"/>
      <c r="S63" s="24"/>
      <c r="T63" s="24"/>
      <c r="U63" s="24"/>
      <c r="V63" s="24"/>
      <c r="W63" s="24"/>
      <c r="X63" s="24"/>
      <c r="Y63" s="24"/>
      <c r="Z63" s="24"/>
      <c r="AA63" s="24"/>
      <c r="AB63" s="24"/>
      <c r="AC63" s="24"/>
      <c r="AD63" s="24"/>
    </row>
    <row r="64" spans="1:30">
      <c r="A64" s="2" t="s">
        <v>44</v>
      </c>
      <c r="B64" s="45">
        <f>'SWM FGD'!M87</f>
        <v>39942270</v>
      </c>
      <c r="C64" s="86"/>
      <c r="D64" s="143">
        <f>'SWM FGD'!F87</f>
        <v>-110137</v>
      </c>
      <c r="E64" s="143"/>
      <c r="F64" s="143">
        <f t="shared" ref="F64:F65" si="19">B64-(SUM(D64:E64))</f>
        <v>40052407</v>
      </c>
    </row>
    <row r="65" spans="1:30">
      <c r="A65" s="2" t="s">
        <v>45</v>
      </c>
      <c r="B65" s="45">
        <f>'SWM FGD'!M88</f>
        <v>20133262</v>
      </c>
      <c r="C65" s="86"/>
      <c r="D65" s="285">
        <f>'SWM FGD'!F88</f>
        <v>0</v>
      </c>
      <c r="E65" s="82"/>
      <c r="F65" s="73">
        <f t="shared" si="19"/>
        <v>20133262</v>
      </c>
      <c r="P65" s="24"/>
      <c r="Q65" s="24"/>
      <c r="R65" s="24"/>
      <c r="S65" s="24"/>
      <c r="T65" s="24"/>
      <c r="U65" s="24"/>
      <c r="V65" s="24"/>
      <c r="W65" s="24"/>
      <c r="X65" s="24"/>
      <c r="Y65" s="24"/>
      <c r="Z65" s="24"/>
      <c r="AA65" s="24"/>
      <c r="AB65" s="24"/>
      <c r="AC65" s="24"/>
      <c r="AD65" s="24"/>
    </row>
    <row r="66" spans="1:30" s="3" customFormat="1">
      <c r="A66" s="9" t="s">
        <v>3</v>
      </c>
      <c r="B66" s="46">
        <f>SUM(B64:B65)</f>
        <v>60075532</v>
      </c>
      <c r="C66" s="88"/>
      <c r="D66" s="88">
        <f>SUM(D64:D65)</f>
        <v>-110137</v>
      </c>
      <c r="E66" s="88">
        <f>SUM(E64:E65)</f>
        <v>0</v>
      </c>
      <c r="F66" s="88">
        <f>SUM(F64:F65)</f>
        <v>60185669</v>
      </c>
      <c r="G66" s="51"/>
      <c r="H66" s="51"/>
      <c r="I66" s="51"/>
      <c r="J66" s="51"/>
      <c r="K66" s="51"/>
      <c r="L66" s="51"/>
      <c r="M66" s="51"/>
      <c r="N66" s="51"/>
      <c r="O66" s="51"/>
    </row>
    <row r="67" spans="1:30">
      <c r="C67" s="74"/>
    </row>
    <row r="68" spans="1:30" ht="13.5" thickBot="1">
      <c r="A68" s="21" t="s">
        <v>616</v>
      </c>
      <c r="B68" s="49">
        <f>B39-B54+B61+B66</f>
        <v>137445668</v>
      </c>
      <c r="C68" s="49"/>
      <c r="D68" s="49">
        <f>D39-D54+D61+D66</f>
        <v>4008212</v>
      </c>
      <c r="E68" s="49">
        <f>E39-E54+E61+E66</f>
        <v>732001348</v>
      </c>
      <c r="F68" s="49">
        <f>F39-F54+F61+F66</f>
        <v>-598563892</v>
      </c>
    </row>
    <row r="69" spans="1:30" ht="13.5" thickTop="1"/>
    <row r="70" spans="1:30">
      <c r="A70" s="51" t="s">
        <v>1109</v>
      </c>
      <c r="D70" s="143"/>
    </row>
    <row r="71" spans="1:30">
      <c r="A71" s="2" t="s">
        <v>51</v>
      </c>
    </row>
    <row r="72" spans="1:30">
      <c r="B72" s="659">
        <f>'SWM FGD'!$M$91</f>
        <v>137445668</v>
      </c>
      <c r="C72" s="74"/>
      <c r="D72" s="659">
        <f>'SWM FGD'!F91</f>
        <v>4035666</v>
      </c>
      <c r="E72" s="659">
        <f>'SWM FGD'!M50</f>
        <v>665714950</v>
      </c>
      <c r="F72" s="74"/>
    </row>
    <row r="73" spans="1:30">
      <c r="B73" s="659"/>
      <c r="C73" s="74"/>
      <c r="D73" s="659">
        <f>'SWM FGD'!F74</f>
        <v>24039289</v>
      </c>
      <c r="E73" s="659">
        <f>'SWM FGD'!M53</f>
        <v>1308148971</v>
      </c>
      <c r="F73" s="659"/>
    </row>
    <row r="74" spans="1:30">
      <c r="B74" s="676"/>
      <c r="C74" s="92"/>
      <c r="D74" s="676">
        <f>-'SWM FGD'!M74</f>
        <v>-24066743</v>
      </c>
      <c r="E74" s="659">
        <f>-'SWM FGD'!M68</f>
        <v>-1210667716</v>
      </c>
      <c r="F74" s="659"/>
    </row>
    <row r="75" spans="1:30">
      <c r="B75" s="676"/>
      <c r="C75" s="74"/>
      <c r="D75" s="676"/>
      <c r="E75" s="676">
        <f>-'SWM FGD'!M67</f>
        <v>-31194857</v>
      </c>
      <c r="F75" s="659"/>
      <c r="G75" s="351"/>
      <c r="H75" s="351"/>
    </row>
    <row r="76" spans="1:30" ht="12.75" customHeight="1">
      <c r="B76" s="675"/>
      <c r="C76" s="74"/>
      <c r="D76" s="675"/>
      <c r="E76" s="675">
        <f>-D26</f>
        <v>0</v>
      </c>
      <c r="F76" s="659"/>
      <c r="G76" s="351"/>
      <c r="H76" s="351"/>
      <c r="I76" s="351"/>
      <c r="J76" s="351"/>
      <c r="K76" s="351"/>
      <c r="L76" s="351"/>
      <c r="M76" s="351"/>
      <c r="N76" s="351"/>
      <c r="O76" s="351"/>
    </row>
    <row r="77" spans="1:30" ht="12.75" customHeight="1">
      <c r="B77" s="659">
        <f>SUM(B72:B76)</f>
        <v>137445668</v>
      </c>
      <c r="C77" s="74"/>
      <c r="D77" s="659">
        <f>SUM(D72:D76)</f>
        <v>4008212</v>
      </c>
      <c r="E77" s="659">
        <f>SUM(E72:E76)</f>
        <v>732001348</v>
      </c>
      <c r="F77" s="659">
        <f>B77-D77-E77</f>
        <v>-598563892</v>
      </c>
      <c r="I77" s="351"/>
      <c r="J77" s="351"/>
      <c r="K77" s="351"/>
      <c r="L77" s="351"/>
      <c r="M77" s="351"/>
      <c r="N77" s="351"/>
      <c r="O77" s="351"/>
    </row>
    <row r="78" spans="1:30" ht="12.75" customHeight="1">
      <c r="B78" s="659"/>
      <c r="C78" s="74"/>
      <c r="D78" s="659"/>
      <c r="E78" s="659"/>
      <c r="F78" s="659"/>
      <c r="G78" s="351"/>
      <c r="H78" s="351"/>
    </row>
    <row r="79" spans="1:30" ht="12.75" customHeight="1">
      <c r="B79" s="675"/>
      <c r="C79" s="93"/>
      <c r="D79" s="675"/>
      <c r="E79" s="675"/>
      <c r="F79" s="675"/>
      <c r="I79" s="351"/>
      <c r="J79" s="351"/>
      <c r="K79" s="351"/>
      <c r="L79" s="351"/>
      <c r="M79" s="351"/>
      <c r="N79" s="351"/>
      <c r="O79" s="351"/>
    </row>
    <row r="80" spans="1:30" ht="12.75" customHeight="1">
      <c r="B80" s="659">
        <f>SUM(B77:B79)</f>
        <v>137445668</v>
      </c>
      <c r="C80" s="74"/>
      <c r="D80" s="659">
        <f>SUM(D77:D79)</f>
        <v>4008212</v>
      </c>
      <c r="E80" s="659">
        <f>SUM(E77:E79)</f>
        <v>732001348</v>
      </c>
      <c r="F80" s="659">
        <f>SUM(F77:F79)</f>
        <v>-598563892</v>
      </c>
    </row>
    <row r="81" spans="2:15">
      <c r="B81" s="659"/>
      <c r="C81" s="74"/>
      <c r="D81" s="659"/>
      <c r="E81" s="659"/>
      <c r="F81" s="659"/>
    </row>
    <row r="82" spans="2:15" s="16" customFormat="1">
      <c r="B82" s="143">
        <f>B68-B80</f>
        <v>0</v>
      </c>
      <c r="C82" s="74"/>
      <c r="D82" s="143">
        <f>D68-D80</f>
        <v>0</v>
      </c>
      <c r="E82" s="143">
        <f>E68-E80</f>
        <v>0</v>
      </c>
      <c r="F82" s="143">
        <f>F68-F80</f>
        <v>0</v>
      </c>
      <c r="G82" s="51"/>
      <c r="H82" s="51"/>
      <c r="I82" s="51"/>
      <c r="J82" s="51"/>
      <c r="K82" s="51"/>
      <c r="L82" s="51"/>
      <c r="M82" s="51"/>
      <c r="N82" s="51"/>
      <c r="O82" s="51"/>
    </row>
    <row r="83" spans="2:15" s="16" customFormat="1">
      <c r="B83" s="74"/>
      <c r="C83" s="74"/>
      <c r="D83" s="51"/>
      <c r="E83" s="51"/>
      <c r="F83" s="564" t="str">
        <f>IF(F82=0,"Balanced","Error")</f>
        <v>Balanced</v>
      </c>
      <c r="G83" s="51"/>
      <c r="H83" s="51"/>
      <c r="I83" s="51"/>
      <c r="J83" s="51"/>
      <c r="K83" s="51"/>
      <c r="L83" s="51"/>
      <c r="M83" s="51"/>
      <c r="N83" s="51"/>
      <c r="O83" s="51"/>
    </row>
    <row r="85" spans="2:15" s="16" customFormat="1">
      <c r="D85" s="351"/>
      <c r="E85" s="51"/>
      <c r="F85" s="51"/>
      <c r="G85" s="51"/>
      <c r="H85" s="51"/>
      <c r="I85" s="51"/>
      <c r="J85" s="51"/>
      <c r="K85" s="51"/>
      <c r="L85" s="51"/>
      <c r="M85" s="51"/>
      <c r="N85" s="51"/>
      <c r="O85" s="51"/>
    </row>
  </sheetData>
  <customSheetViews>
    <customSheetView guid="{ECAD605C-AB83-4734-B66F-6ADEF748858F}" scale="65" showPageBreaks="1" showGridLines="0" fitToPage="1" printArea="1" showRuler="0" topLeftCell="A39">
      <selection activeCell="A83" sqref="A83"/>
      <rowBreaks count="1" manualBreakCount="1">
        <brk id="60" max="1" man="1"/>
      </rowBreaks>
      <pageMargins left="0.25" right="0.25" top="0.5" bottom="0.3" header="0.3" footer="0.25"/>
      <pageSetup scale="62" orientation="portrait" r:id="rId1"/>
      <headerFooter alignWithMargins="0"/>
    </customSheetView>
    <customSheetView guid="{A81C0C90-8FC5-4D90-88FE-F0BCC0ABCCB0}" scale="65" showPageBreaks="1" showGridLines="0" fitToPage="1" printArea="1" showRuler="0">
      <selection activeCell="B1" sqref="B1"/>
      <rowBreaks count="1" manualBreakCount="1">
        <brk id="60" max="1" man="1"/>
      </rowBreaks>
      <pageMargins left="0.25" right="0.25" top="0.5" bottom="0.3" header="0.3" footer="0.25"/>
      <pageSetup scale="62" orientation="portrait" r:id="rId2"/>
      <headerFooter alignWithMargins="0"/>
    </customSheetView>
    <customSheetView guid="{3C971B3B-4F1A-4A5F-87B7-49ECD435050C}" scale="65" showPageBreaks="1" showGridLines="0" fitToPage="1" printArea="1" showRuler="0">
      <selection activeCell="B1" sqref="B1"/>
      <rowBreaks count="1" manualBreakCount="1">
        <brk id="60" max="1" man="1"/>
      </rowBreaks>
      <pageMargins left="0.25" right="0.25" top="0.5" bottom="0.3" header="0.3" footer="0.25"/>
      <pageSetup scale="62" orientation="portrait" r:id="rId3"/>
      <headerFooter alignWithMargins="0"/>
    </customSheetView>
    <customSheetView guid="{CD28C8E9-3CF9-4B7E-BA5C-9BCC30B9DAC7}" scale="65" showPageBreaks="1" showGridLines="0" fitToPage="1" printArea="1" showRuler="0">
      <selection activeCell="G37" sqref="G37"/>
      <rowBreaks count="1" manualBreakCount="1">
        <brk id="60" max="1" man="1"/>
      </rowBreaks>
      <pageMargins left="0.25" right="0.25" top="0.5" bottom="0.3" header="0.3" footer="0.25"/>
      <pageSetup scale="91" orientation="portrait" r:id="rId4"/>
      <headerFooter alignWithMargins="0"/>
    </customSheetView>
  </customSheetViews>
  <mergeCells count="16">
    <mergeCell ref="G54:H56"/>
    <mergeCell ref="D4:D5"/>
    <mergeCell ref="J1:O1"/>
    <mergeCell ref="E4:E5"/>
    <mergeCell ref="F1:I1"/>
    <mergeCell ref="J55:J56"/>
    <mergeCell ref="K37:K40"/>
    <mergeCell ref="L37:L40"/>
    <mergeCell ref="G38:H38"/>
    <mergeCell ref="G39:H39"/>
    <mergeCell ref="K45:O45"/>
    <mergeCell ref="K35:O35"/>
    <mergeCell ref="K36:O36"/>
    <mergeCell ref="O37:O40"/>
    <mergeCell ref="M37:M40"/>
    <mergeCell ref="N37:N40"/>
  </mergeCells>
  <phoneticPr fontId="0" type="noConversion"/>
  <hyperlinks>
    <hyperlink ref="E1" location="Index!A1" display="Return to Index"/>
  </hyperlinks>
  <printOptions horizontalCentered="1"/>
  <pageMargins left="0.25" right="0.25" top="0.3" bottom="0.25" header="0.3" footer="0.25"/>
  <pageSetup scale="80" orientation="portrait" r:id="rId5"/>
  <headerFooter alignWithMargins="0"/>
  <ignoredErrors>
    <ignoredError sqref="B61:B63 B66 D58:D65" unlockedFormula="1"/>
  </ignoredErrors>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AB126"/>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ColWidth="9.140625" defaultRowHeight="12.75"/>
  <cols>
    <col min="1" max="1" width="5.7109375" style="147" hidden="1" customWidth="1"/>
    <col min="2" max="2" width="60.140625" style="149" customWidth="1"/>
    <col min="3" max="3" width="60.140625" style="149" hidden="1" customWidth="1"/>
    <col min="4" max="4" width="15.5703125" style="149" customWidth="1"/>
    <col min="5" max="5" width="15.7109375" style="149" customWidth="1"/>
    <col min="6" max="6" width="15.140625" style="149" customWidth="1"/>
    <col min="7" max="7" width="16" style="149" customWidth="1"/>
    <col min="8" max="8" width="12.7109375" style="149" customWidth="1"/>
    <col min="9" max="9" width="17.42578125" style="149" customWidth="1"/>
    <col min="10" max="10" width="15.5703125" style="149" customWidth="1"/>
    <col min="11" max="11" width="16" style="149" customWidth="1"/>
    <col min="12" max="12" width="16.28515625" style="149" customWidth="1"/>
    <col min="13" max="13" width="18" style="149" customWidth="1"/>
    <col min="14" max="14" width="6.7109375" style="149" customWidth="1"/>
    <col min="15" max="15" width="15.5703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16384" width="9.140625" style="149"/>
  </cols>
  <sheetData>
    <row r="1" spans="1:28" s="147" customFormat="1" hidden="1">
      <c r="A1" s="147">
        <v>0</v>
      </c>
      <c r="B1" s="147">
        <v>1</v>
      </c>
      <c r="D1" s="147">
        <v>2</v>
      </c>
      <c r="E1" s="147">
        <v>3</v>
      </c>
      <c r="F1" s="147">
        <v>4</v>
      </c>
      <c r="G1" s="147">
        <v>5</v>
      </c>
      <c r="H1" s="147">
        <v>6</v>
      </c>
      <c r="I1" s="147">
        <v>7</v>
      </c>
      <c r="J1" s="147">
        <v>8</v>
      </c>
      <c r="K1" s="147">
        <v>9</v>
      </c>
      <c r="L1" s="147">
        <v>10</v>
      </c>
      <c r="M1" s="147">
        <v>11</v>
      </c>
      <c r="N1" s="147">
        <v>12</v>
      </c>
      <c r="O1" s="292"/>
      <c r="P1" s="293"/>
      <c r="Q1" s="293"/>
      <c r="R1" s="293"/>
      <c r="S1" s="293"/>
      <c r="T1" s="293"/>
      <c r="U1" s="293"/>
      <c r="V1" s="293"/>
      <c r="W1" s="293"/>
      <c r="X1" s="293"/>
      <c r="Y1" s="293"/>
      <c r="Z1" s="293"/>
      <c r="AA1" s="293"/>
      <c r="AB1" s="293"/>
    </row>
    <row r="2" spans="1:28" ht="20.25">
      <c r="A2" s="147">
        <v>1</v>
      </c>
      <c r="B2" s="1273" t="str">
        <f>'SWM Chts'!$A$1</f>
        <v>The University of Texas Southwestern Medical Center</v>
      </c>
      <c r="C2" s="1273"/>
      <c r="D2" s="1273"/>
      <c r="E2" s="1273"/>
      <c r="F2" s="1273"/>
      <c r="G2" s="1273"/>
      <c r="H2" s="148"/>
      <c r="I2" s="149" t="str">
        <f>IF($B$2&lt;&gt;Input!$H$6,"Name Mismatch","")</f>
        <v/>
      </c>
      <c r="K2" s="148"/>
      <c r="L2" s="148"/>
      <c r="M2" s="148"/>
      <c r="N2" s="148"/>
      <c r="O2" s="737" t="s">
        <v>1123</v>
      </c>
      <c r="P2" s="148"/>
      <c r="Q2" s="148"/>
    </row>
    <row r="3" spans="1:28" ht="20.25">
      <c r="A3" s="147">
        <v>2</v>
      </c>
      <c r="B3" s="1273" t="str">
        <f>'Smmy Chts'!$A$2</f>
        <v>For the Year Ended August 31, 2018</v>
      </c>
      <c r="C3" s="1273"/>
      <c r="D3" s="1273"/>
      <c r="E3" s="1273"/>
      <c r="F3" s="1273"/>
      <c r="G3" s="148"/>
      <c r="H3" s="148"/>
      <c r="K3" s="148"/>
      <c r="L3" s="148"/>
      <c r="M3" s="150"/>
      <c r="O3" s="73"/>
    </row>
    <row r="4" spans="1:28" ht="20.25">
      <c r="A4" s="147">
        <v>3</v>
      </c>
      <c r="B4" s="1273" t="str">
        <f>'Smmy Chts'!$A$3</f>
        <v>Source: FY 2018 Annual Financial Report</v>
      </c>
      <c r="C4" s="1273"/>
      <c r="D4" s="1273"/>
      <c r="E4" s="1273"/>
      <c r="F4" s="1273"/>
      <c r="G4" s="148"/>
      <c r="H4" s="148"/>
      <c r="K4" s="148"/>
      <c r="L4" s="148"/>
      <c r="M4" s="150"/>
      <c r="O4" s="73"/>
      <c r="P4" s="1313" t="s">
        <v>92</v>
      </c>
      <c r="Q4" s="1314"/>
      <c r="S4" s="294" t="s">
        <v>176</v>
      </c>
    </row>
    <row r="5" spans="1:28">
      <c r="A5" s="147">
        <v>4</v>
      </c>
      <c r="M5" s="147"/>
      <c r="O5" s="292"/>
    </row>
    <row r="6" spans="1:28">
      <c r="A6" s="147">
        <v>5</v>
      </c>
      <c r="B6" s="1274" t="str">
        <f>'Smmy Chts'!$C$32</f>
        <v>Detail Worksheet FY 2018</v>
      </c>
      <c r="C6" s="1274"/>
      <c r="D6" s="1275"/>
      <c r="E6" s="1275"/>
      <c r="F6" s="1275"/>
      <c r="G6" s="1275"/>
      <c r="H6" s="1275"/>
      <c r="I6" s="1275"/>
      <c r="J6" s="1275"/>
      <c r="K6" s="1275"/>
      <c r="L6" s="1275"/>
      <c r="M6" s="1275"/>
      <c r="O6" s="295"/>
    </row>
    <row r="7" spans="1:28">
      <c r="A7" s="147">
        <v>6</v>
      </c>
      <c r="B7" s="151"/>
      <c r="C7" s="151"/>
      <c r="M7" s="152" t="str">
        <f>'Smmy Chts'!$C$33</f>
        <v>FY 2018</v>
      </c>
      <c r="O7" s="296"/>
      <c r="P7" s="297"/>
    </row>
    <row r="8" spans="1:28" ht="38.25">
      <c r="A8" s="147">
        <v>7</v>
      </c>
      <c r="B8" s="153" t="s">
        <v>74</v>
      </c>
      <c r="C8" s="153"/>
      <c r="D8" s="154" t="s">
        <v>28</v>
      </c>
      <c r="E8" s="154" t="s">
        <v>29</v>
      </c>
      <c r="F8" s="154" t="s">
        <v>22</v>
      </c>
      <c r="G8" s="154" t="s">
        <v>30</v>
      </c>
      <c r="H8" s="154" t="s">
        <v>31</v>
      </c>
      <c r="I8" s="154" t="s">
        <v>32</v>
      </c>
      <c r="J8" s="154" t="s">
        <v>33</v>
      </c>
      <c r="K8" s="154" t="s">
        <v>34</v>
      </c>
      <c r="L8" s="154" t="s">
        <v>35</v>
      </c>
      <c r="M8" s="154" t="s">
        <v>36</v>
      </c>
      <c r="O8" s="296"/>
      <c r="P8" s="298"/>
      <c r="Q8" s="183"/>
      <c r="R8" s="183"/>
      <c r="S8" s="183"/>
      <c r="T8" s="183"/>
      <c r="U8" s="183"/>
    </row>
    <row r="9" spans="1:28">
      <c r="A9" s="147">
        <v>8</v>
      </c>
      <c r="B9" s="151" t="s">
        <v>0</v>
      </c>
      <c r="C9" s="151"/>
      <c r="D9" s="155"/>
      <c r="E9" s="155"/>
      <c r="F9" s="155"/>
      <c r="G9" s="155"/>
      <c r="H9" s="155"/>
      <c r="I9" s="155"/>
      <c r="J9" s="155"/>
      <c r="K9" s="155"/>
      <c r="L9" s="155"/>
      <c r="M9" s="155"/>
      <c r="O9" s="296"/>
      <c r="P9" s="298"/>
      <c r="T9" s="183"/>
      <c r="U9" s="183"/>
    </row>
    <row r="10" spans="1:28">
      <c r="A10" s="147">
        <v>9</v>
      </c>
      <c r="B10" s="149" t="s">
        <v>1</v>
      </c>
      <c r="D10" s="355">
        <f>Input!$M$6</f>
        <v>191118600</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191118600</v>
      </c>
      <c r="O10" s="184"/>
      <c r="P10" s="1308" t="s">
        <v>595</v>
      </c>
      <c r="T10" s="183"/>
      <c r="U10" s="183"/>
    </row>
    <row r="11" spans="1:28">
      <c r="A11" s="147">
        <v>10</v>
      </c>
      <c r="B11" s="149" t="s">
        <v>2</v>
      </c>
      <c r="D11" s="355">
        <f>Input!$V$6</f>
        <v>2100000</v>
      </c>
      <c r="E11" s="355">
        <f>Input!$W$6</f>
        <v>1537881</v>
      </c>
      <c r="F11" s="355">
        <f>Input!$X$6</f>
        <v>0</v>
      </c>
      <c r="G11" s="355">
        <f>Input!$Y$6</f>
        <v>38402817</v>
      </c>
      <c r="H11" s="355">
        <f>Input!$Z$6</f>
        <v>0</v>
      </c>
      <c r="I11" s="355">
        <f>Input!$AA$6</f>
        <v>0</v>
      </c>
      <c r="J11" s="355">
        <f>Input!$AB$6</f>
        <v>0</v>
      </c>
      <c r="K11" s="355">
        <f>Input!$AC$6</f>
        <v>0</v>
      </c>
      <c r="L11" s="355">
        <f>Input!$AD$6</f>
        <v>0</v>
      </c>
      <c r="M11" s="357">
        <f t="shared" si="0"/>
        <v>42040698</v>
      </c>
      <c r="N11" s="156"/>
      <c r="O11" s="455"/>
      <c r="P11" s="1309"/>
      <c r="T11" s="183"/>
      <c r="U11" s="183"/>
    </row>
    <row r="12" spans="1:28" ht="12.75" hidden="1" customHeight="1">
      <c r="B12" s="157" t="s">
        <v>1345</v>
      </c>
      <c r="C12" s="157"/>
      <c r="D12" s="355"/>
      <c r="E12" s="355"/>
      <c r="F12" s="355"/>
      <c r="G12" s="355"/>
      <c r="H12" s="355"/>
      <c r="I12" s="355"/>
      <c r="J12" s="355"/>
      <c r="K12" s="355"/>
      <c r="L12" s="355"/>
      <c r="M12" s="357"/>
      <c r="O12" s="455"/>
      <c r="P12" s="456"/>
      <c r="T12" s="300"/>
      <c r="U12" s="301"/>
    </row>
    <row r="13" spans="1:28">
      <c r="A13" s="147">
        <v>12</v>
      </c>
      <c r="B13" s="149" t="s">
        <v>1298</v>
      </c>
      <c r="D13" s="355">
        <f>Input!$AN$6</f>
        <v>0</v>
      </c>
      <c r="E13" s="355">
        <f>Input!$AO$6</f>
        <v>0</v>
      </c>
      <c r="F13" s="355">
        <f>Input!$AP$6</f>
        <v>0</v>
      </c>
      <c r="G13" s="355">
        <f>Input!$AQ$6</f>
        <v>0</v>
      </c>
      <c r="H13" s="355">
        <f>Input!$AR$6</f>
        <v>0</v>
      </c>
      <c r="I13" s="355">
        <f>Input!$AS$6</f>
        <v>0</v>
      </c>
      <c r="J13" s="355">
        <f>Input!$AT$6</f>
        <v>0</v>
      </c>
      <c r="K13" s="355">
        <f>Input!$AU$6</f>
        <v>0</v>
      </c>
      <c r="L13" s="355">
        <f>Input!$AV$6</f>
        <v>0</v>
      </c>
      <c r="M13" s="357">
        <f t="shared" si="0"/>
        <v>0</v>
      </c>
      <c r="O13" s="455" t="str">
        <f>IF(P13&lt;&gt;M13,"Out of Balance","Balanced")</f>
        <v>Balanced</v>
      </c>
      <c r="P13" s="457">
        <f>IFERROR(VLOOKUP($B$2,AMTLU,6,FALSE),0)</f>
        <v>0</v>
      </c>
      <c r="T13" s="183"/>
      <c r="U13" s="183"/>
    </row>
    <row r="14" spans="1:28" ht="15">
      <c r="A14" s="147">
        <v>13</v>
      </c>
      <c r="B14" s="149" t="s">
        <v>46</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302"/>
      <c r="P14" s="294"/>
    </row>
    <row r="15" spans="1:28" ht="15">
      <c r="A15" s="147">
        <v>14</v>
      </c>
      <c r="B15" s="158" t="s">
        <v>3</v>
      </c>
      <c r="C15" s="158"/>
      <c r="D15" s="356">
        <f>SUM(D10:D14)</f>
        <v>193218600</v>
      </c>
      <c r="E15" s="356">
        <f t="shared" ref="E15:L15" si="1">SUM(E10:E14)</f>
        <v>1537881</v>
      </c>
      <c r="F15" s="356">
        <f t="shared" si="1"/>
        <v>0</v>
      </c>
      <c r="G15" s="356">
        <f t="shared" si="1"/>
        <v>38402817</v>
      </c>
      <c r="H15" s="356">
        <f t="shared" si="1"/>
        <v>0</v>
      </c>
      <c r="I15" s="356">
        <f t="shared" si="1"/>
        <v>0</v>
      </c>
      <c r="J15" s="356">
        <f t="shared" si="1"/>
        <v>0</v>
      </c>
      <c r="K15" s="356">
        <f t="shared" si="1"/>
        <v>0</v>
      </c>
      <c r="L15" s="356">
        <f t="shared" si="1"/>
        <v>0</v>
      </c>
      <c r="M15" s="356">
        <f t="shared" si="0"/>
        <v>233159298</v>
      </c>
      <c r="O15" s="299"/>
      <c r="P15" s="294"/>
    </row>
    <row r="16" spans="1:28" ht="12.75" customHeight="1">
      <c r="A16" s="147">
        <v>15</v>
      </c>
      <c r="D16" s="357"/>
      <c r="E16" s="357"/>
      <c r="F16" s="357"/>
      <c r="G16" s="357"/>
      <c r="H16" s="357"/>
      <c r="I16" s="357"/>
      <c r="J16" s="357"/>
      <c r="K16" s="357"/>
      <c r="L16" s="357"/>
      <c r="M16" s="357"/>
      <c r="O16" s="302"/>
      <c r="P16" s="303"/>
      <c r="Q16" s="297"/>
      <c r="R16" s="183"/>
      <c r="S16" s="183"/>
      <c r="T16" s="183"/>
      <c r="U16" s="183"/>
      <c r="V16" s="183"/>
    </row>
    <row r="17" spans="1:28" ht="14.25" customHeight="1">
      <c r="A17" s="147">
        <v>16</v>
      </c>
      <c r="B17" s="151" t="s">
        <v>4</v>
      </c>
      <c r="C17" s="151"/>
      <c r="D17" s="357"/>
      <c r="E17" s="357"/>
      <c r="F17" s="357"/>
      <c r="G17" s="357"/>
      <c r="H17" s="357"/>
      <c r="I17" s="357"/>
      <c r="J17" s="357"/>
      <c r="K17" s="357"/>
      <c r="L17" s="357"/>
      <c r="M17" s="357"/>
      <c r="N17" s="24"/>
      <c r="O17" s="24"/>
      <c r="P17" s="24"/>
      <c r="Q17" s="24"/>
      <c r="R17" s="149"/>
      <c r="S17" s="149"/>
      <c r="T17" s="149"/>
      <c r="U17" s="183" t="s">
        <v>1058</v>
      </c>
      <c r="V17" s="149"/>
      <c r="W17" s="149"/>
      <c r="X17" s="149"/>
      <c r="Y17" s="149"/>
      <c r="Z17" s="149"/>
      <c r="AA17" s="149"/>
      <c r="AB17" s="149"/>
    </row>
    <row r="18" spans="1:28" s="50" customFormat="1" ht="13.5" customHeight="1" thickBot="1">
      <c r="A18" s="293"/>
      <c r="B18" s="536" t="s">
        <v>995</v>
      </c>
      <c r="C18" s="536"/>
      <c r="D18" s="356">
        <f t="shared" ref="D18:L18" si="2">D23-SUM(D19:D22)</f>
        <v>14772621</v>
      </c>
      <c r="E18" s="356">
        <f t="shared" si="2"/>
        <v>16960062</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31732683</v>
      </c>
      <c r="V18" s="342"/>
      <c r="X18" s="326"/>
    </row>
    <row r="19" spans="1:28" s="50" customFormat="1" ht="12.75" customHeight="1" thickTop="1" thickBot="1">
      <c r="A19" s="293"/>
      <c r="B19" s="51" t="s">
        <v>638</v>
      </c>
      <c r="C19" s="51"/>
      <c r="D19" s="355">
        <f>Input!$BF$6</f>
        <v>-6456273</v>
      </c>
      <c r="E19" s="355">
        <f>Input!$BG$6</f>
        <v>0</v>
      </c>
      <c r="F19" s="355">
        <f>Input!$BH$6</f>
        <v>0</v>
      </c>
      <c r="G19" s="355">
        <f>Input!$BI$6</f>
        <v>0</v>
      </c>
      <c r="H19" s="355">
        <f>Input!$BJ$6</f>
        <v>0</v>
      </c>
      <c r="I19" s="355">
        <f>Input!BK6</f>
        <v>0</v>
      </c>
      <c r="J19" s="355">
        <f>Input!$BL$6</f>
        <v>0</v>
      </c>
      <c r="K19" s="355">
        <f>Input!BM6</f>
        <v>0</v>
      </c>
      <c r="L19" s="355">
        <f>Input!BN6</f>
        <v>0</v>
      </c>
      <c r="M19" s="357">
        <f t="shared" si="3"/>
        <v>-6456273</v>
      </c>
      <c r="O19" s="1310" t="s">
        <v>1244</v>
      </c>
      <c r="P19" s="1311"/>
      <c r="Q19" s="1311"/>
      <c r="R19" s="1311"/>
      <c r="S19" s="1312"/>
      <c r="U19" s="1295" t="s">
        <v>996</v>
      </c>
      <c r="V19" s="1296"/>
      <c r="W19" s="1296"/>
      <c r="X19" s="1296"/>
      <c r="Y19" s="1297"/>
    </row>
    <row r="20" spans="1:28" s="50" customFormat="1" ht="12.75" customHeight="1" thickTop="1">
      <c r="A20" s="293"/>
      <c r="B20" s="51" t="s">
        <v>639</v>
      </c>
      <c r="C20" s="51"/>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414" t="s">
        <v>215</v>
      </c>
      <c r="P20" s="415"/>
      <c r="Q20" s="416"/>
      <c r="R20" s="416"/>
      <c r="S20" s="537"/>
      <c r="U20" s="538" t="s">
        <v>997</v>
      </c>
      <c r="V20" s="296"/>
      <c r="W20" s="296"/>
      <c r="Y20" s="420"/>
    </row>
    <row r="21" spans="1:28" s="50" customFormat="1">
      <c r="A21" s="293"/>
      <c r="B21" s="51" t="s">
        <v>640</v>
      </c>
      <c r="C21" s="51"/>
      <c r="D21" s="355">
        <f>Input!$BX$6</f>
        <v>0</v>
      </c>
      <c r="E21" s="355">
        <f>Input!$BY$6</f>
        <v>0</v>
      </c>
      <c r="F21" s="355">
        <f>Input!$BZ$6</f>
        <v>0</v>
      </c>
      <c r="G21" s="355">
        <f>Input!$CA$6</f>
        <v>0</v>
      </c>
      <c r="H21" s="355">
        <f>Input!$CB$6</f>
        <v>0</v>
      </c>
      <c r="I21" s="355">
        <f>Input!$CC$6</f>
        <v>0</v>
      </c>
      <c r="J21" s="355">
        <f>Input!$CD$6</f>
        <v>0</v>
      </c>
      <c r="K21" s="355">
        <f>Input!$CE$6</f>
        <v>0</v>
      </c>
      <c r="L21" s="355">
        <f>Input!$CF$6</f>
        <v>0</v>
      </c>
      <c r="M21" s="357">
        <f t="shared" si="3"/>
        <v>0</v>
      </c>
      <c r="O21" s="430"/>
      <c r="R21" s="347"/>
      <c r="S21" s="539"/>
      <c r="U21" s="621" t="s">
        <v>998</v>
      </c>
      <c r="V21" s="296"/>
      <c r="W21" s="296"/>
      <c r="X21" s="622">
        <f>M44</f>
        <v>27027529</v>
      </c>
      <c r="Y21" s="420"/>
      <c r="Z21" s="326"/>
    </row>
    <row r="22" spans="1:28" s="50" customFormat="1">
      <c r="A22" s="293"/>
      <c r="B22" s="51" t="s">
        <v>641</v>
      </c>
      <c r="C22" s="51"/>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99"/>
      <c r="O22" s="430" t="s">
        <v>999</v>
      </c>
      <c r="P22" s="305"/>
      <c r="Q22" s="419">
        <f>M23</f>
        <v>25276410</v>
      </c>
      <c r="S22" s="540"/>
      <c r="U22" s="621" t="s">
        <v>1000</v>
      </c>
      <c r="V22" s="296"/>
      <c r="W22" s="296"/>
      <c r="X22" s="623">
        <f>R30*-1</f>
        <v>883288</v>
      </c>
      <c r="Y22" s="420"/>
    </row>
    <row r="23" spans="1:28" s="50" customFormat="1" ht="12.75" customHeight="1">
      <c r="A23" s="293"/>
      <c r="B23" s="536" t="s">
        <v>642</v>
      </c>
      <c r="C23" s="179"/>
      <c r="D23" s="541">
        <f>Input!$CP$6</f>
        <v>8316348</v>
      </c>
      <c r="E23" s="541">
        <f>Input!$CQ$6</f>
        <v>16960062</v>
      </c>
      <c r="F23" s="541">
        <f>Input!$CR$6</f>
        <v>0</v>
      </c>
      <c r="G23" s="541">
        <f>Input!$CS$6</f>
        <v>0</v>
      </c>
      <c r="H23" s="541">
        <f>Input!$CT$6</f>
        <v>0</v>
      </c>
      <c r="I23" s="541">
        <f>Input!$CU$6</f>
        <v>0</v>
      </c>
      <c r="J23" s="541">
        <f>Input!$CV$6</f>
        <v>0</v>
      </c>
      <c r="K23" s="541">
        <f>Input!$CW$6</f>
        <v>0</v>
      </c>
      <c r="L23" s="541">
        <f>Input!$CX$6</f>
        <v>0</v>
      </c>
      <c r="M23" s="542">
        <f t="shared" si="3"/>
        <v>25276410</v>
      </c>
      <c r="O23" s="430"/>
      <c r="P23" s="305"/>
      <c r="Q23" s="419"/>
      <c r="S23" s="540"/>
      <c r="U23" s="538" t="s">
        <v>1185</v>
      </c>
      <c r="V23" s="296"/>
      <c r="W23" s="296"/>
      <c r="X23" s="305"/>
      <c r="Y23" s="420">
        <f>SUM(X21:X22)</f>
        <v>27910817</v>
      </c>
      <c r="Z23" s="326"/>
    </row>
    <row r="24" spans="1:28" s="50" customFormat="1" ht="12.75" customHeight="1">
      <c r="A24" s="293"/>
      <c r="B24" s="51" t="s">
        <v>643</v>
      </c>
      <c r="C24" s="180"/>
      <c r="D24" s="355">
        <f>Input!$CY$6</f>
        <v>0</v>
      </c>
      <c r="E24" s="355">
        <f>Input!$CZ$6</f>
        <v>0</v>
      </c>
      <c r="F24" s="355">
        <f>Input!$DA$6</f>
        <v>0</v>
      </c>
      <c r="G24" s="355">
        <f>Input!$DB$6</f>
        <v>0</v>
      </c>
      <c r="H24" s="355">
        <f>Input!$DC$6</f>
        <v>0</v>
      </c>
      <c r="I24" s="355">
        <f>Input!$DD$6</f>
        <v>0</v>
      </c>
      <c r="J24" s="355">
        <f>Input!$DE$6</f>
        <v>0</v>
      </c>
      <c r="K24" s="355">
        <f>Input!$DF$6</f>
        <v>0</v>
      </c>
      <c r="L24" s="355">
        <f>Input!$DG$6</f>
        <v>0</v>
      </c>
      <c r="M24" s="543">
        <f t="shared" si="3"/>
        <v>0</v>
      </c>
      <c r="O24" s="418" t="s">
        <v>1001</v>
      </c>
      <c r="P24" s="305"/>
      <c r="Q24" s="342"/>
      <c r="R24" s="342">
        <f>SUM(M24:M28)</f>
        <v>-697815</v>
      </c>
      <c r="S24" s="540"/>
      <c r="U24" s="538"/>
      <c r="V24" s="296"/>
      <c r="W24" s="296"/>
      <c r="Y24" s="420"/>
      <c r="Z24" s="326"/>
    </row>
    <row r="25" spans="1:28" s="50" customFormat="1" ht="12.75" customHeight="1">
      <c r="A25" s="293"/>
      <c r="B25" s="51" t="s">
        <v>644</v>
      </c>
      <c r="C25" s="180"/>
      <c r="D25" s="355">
        <f>Input!$DH$6</f>
        <v>0</v>
      </c>
      <c r="E25" s="355">
        <f>Input!$DI$6</f>
        <v>0</v>
      </c>
      <c r="F25" s="355">
        <f>Input!$DJ$6</f>
        <v>0</v>
      </c>
      <c r="G25" s="355">
        <f>Input!$DK$6</f>
        <v>0</v>
      </c>
      <c r="H25" s="355">
        <f>Input!$DL$6</f>
        <v>0</v>
      </c>
      <c r="I25" s="355">
        <f>Input!$DM$6</f>
        <v>0</v>
      </c>
      <c r="J25" s="355">
        <f>Input!$DN$6</f>
        <v>0</v>
      </c>
      <c r="K25" s="355">
        <f>Input!$DO$6</f>
        <v>0</v>
      </c>
      <c r="L25" s="355">
        <f>Input!$DP$6</f>
        <v>0</v>
      </c>
      <c r="M25" s="543">
        <f t="shared" si="3"/>
        <v>0</v>
      </c>
      <c r="O25" s="430"/>
      <c r="P25" s="305"/>
      <c r="Q25" s="342"/>
      <c r="R25" s="342"/>
      <c r="S25" s="540"/>
      <c r="U25" s="544" t="s">
        <v>1045</v>
      </c>
      <c r="V25" s="545"/>
      <c r="W25" s="545"/>
      <c r="X25" s="624">
        <f>(M26+M39)*-1</f>
        <v>297179</v>
      </c>
      <c r="Y25" s="420"/>
      <c r="Z25" s="326"/>
    </row>
    <row r="26" spans="1:28" s="50" customFormat="1" ht="12.75" customHeight="1">
      <c r="A26" s="293"/>
      <c r="B26" s="51" t="s">
        <v>645</v>
      </c>
      <c r="C26" s="180"/>
      <c r="D26" s="355">
        <f>Input!$DQ$6</f>
        <v>-297179</v>
      </c>
      <c r="E26" s="355">
        <f>Input!$DR$6</f>
        <v>0</v>
      </c>
      <c r="F26" s="355">
        <f>Input!$DS$6</f>
        <v>0</v>
      </c>
      <c r="G26" s="355">
        <f>Input!$DT$6</f>
        <v>0</v>
      </c>
      <c r="H26" s="355">
        <f>Input!$DU$6</f>
        <v>0</v>
      </c>
      <c r="I26" s="355">
        <f>Input!$DV$6</f>
        <v>0</v>
      </c>
      <c r="J26" s="355">
        <f>Input!$DW$6</f>
        <v>0</v>
      </c>
      <c r="K26" s="355">
        <f>Input!$DX$6</f>
        <v>0</v>
      </c>
      <c r="L26" s="355">
        <f>Input!$DY$6</f>
        <v>0</v>
      </c>
      <c r="M26" s="543">
        <f t="shared" si="3"/>
        <v>-297179</v>
      </c>
      <c r="O26" s="430" t="s">
        <v>1002</v>
      </c>
      <c r="P26" s="305"/>
      <c r="Q26" s="422">
        <f>M36</f>
        <v>2634407</v>
      </c>
      <c r="R26" s="423"/>
      <c r="S26" s="546"/>
      <c r="U26" s="538" t="s">
        <v>1046</v>
      </c>
      <c r="V26" s="296"/>
      <c r="W26" s="296"/>
      <c r="X26" s="547">
        <f>(M21+M34)*-1</f>
        <v>0</v>
      </c>
      <c r="Y26" s="420"/>
      <c r="Z26" s="326"/>
    </row>
    <row r="27" spans="1:28" s="50" customFormat="1">
      <c r="A27" s="293"/>
      <c r="B27" s="51" t="s">
        <v>646</v>
      </c>
      <c r="C27" s="180"/>
      <c r="D27" s="355">
        <f>Input!$DZ$6</f>
        <v>0</v>
      </c>
      <c r="E27" s="355">
        <f>Input!$EA$6</f>
        <v>0</v>
      </c>
      <c r="F27" s="355">
        <f>Input!$EB$6</f>
        <v>0</v>
      </c>
      <c r="G27" s="355">
        <f>Input!$EC$6</f>
        <v>0</v>
      </c>
      <c r="H27" s="355">
        <f>Input!$ED$6</f>
        <v>0</v>
      </c>
      <c r="I27" s="355">
        <f>Input!$EE$6</f>
        <v>0</v>
      </c>
      <c r="J27" s="355">
        <f>Input!$EF$6</f>
        <v>0</v>
      </c>
      <c r="K27" s="355">
        <f>Input!$EG$6</f>
        <v>0</v>
      </c>
      <c r="L27" s="355">
        <f>Input!$EH$6</f>
        <v>0</v>
      </c>
      <c r="M27" s="543">
        <f t="shared" si="3"/>
        <v>0</v>
      </c>
      <c r="O27" s="430"/>
      <c r="P27" s="305"/>
      <c r="Q27" s="422"/>
      <c r="R27" s="423"/>
      <c r="S27" s="546"/>
      <c r="U27" s="621" t="s">
        <v>1047</v>
      </c>
      <c r="V27" s="221"/>
      <c r="W27" s="221"/>
      <c r="X27" s="625">
        <f>SUM(X25:X26)</f>
        <v>297179</v>
      </c>
      <c r="Y27" s="626"/>
    </row>
    <row r="28" spans="1:28" s="50" customFormat="1">
      <c r="A28" s="293"/>
      <c r="B28" s="51" t="s">
        <v>1361</v>
      </c>
      <c r="C28" s="180"/>
      <c r="D28" s="355">
        <f>Input!$EI$6</f>
        <v>31004</v>
      </c>
      <c r="E28" s="355">
        <f>Input!$EJ$6</f>
        <v>-431640</v>
      </c>
      <c r="F28" s="355">
        <f>Input!$EK$6</f>
        <v>0</v>
      </c>
      <c r="G28" s="355">
        <f>Input!$EL$6</f>
        <v>0</v>
      </c>
      <c r="H28" s="355">
        <f>Input!$EM$6</f>
        <v>0</v>
      </c>
      <c r="I28" s="355">
        <f>Input!$EN$6</f>
        <v>0</v>
      </c>
      <c r="J28" s="355">
        <f>Input!$EO$6</f>
        <v>0</v>
      </c>
      <c r="K28" s="355">
        <f>Input!$EP$6</f>
        <v>0</v>
      </c>
      <c r="L28" s="355">
        <f>Input!$EQ$6</f>
        <v>0</v>
      </c>
      <c r="M28" s="543">
        <f t="shared" si="3"/>
        <v>-400636</v>
      </c>
      <c r="O28" s="418" t="s">
        <v>1003</v>
      </c>
      <c r="Q28" s="425"/>
      <c r="R28" s="342">
        <f>SUM(M37:M41)</f>
        <v>-185473</v>
      </c>
      <c r="S28" s="540"/>
      <c r="U28" s="538" t="s">
        <v>1048</v>
      </c>
      <c r="V28" s="296"/>
      <c r="W28" s="296"/>
      <c r="X28" s="420">
        <f>(M27+M40)*-1</f>
        <v>0</v>
      </c>
      <c r="Y28" s="626"/>
      <c r="Z28" s="326"/>
    </row>
    <row r="29" spans="1:28" s="50" customFormat="1" ht="12" customHeight="1">
      <c r="A29" s="293"/>
      <c r="B29" s="551" t="s">
        <v>37</v>
      </c>
      <c r="C29" s="179"/>
      <c r="D29" s="356">
        <f t="shared" ref="D29:L29" si="4">SUM(D23:D28)</f>
        <v>8050173</v>
      </c>
      <c r="E29" s="356">
        <f t="shared" si="4"/>
        <v>16528422</v>
      </c>
      <c r="F29" s="356">
        <f t="shared" si="4"/>
        <v>0</v>
      </c>
      <c r="G29" s="356">
        <f t="shared" si="4"/>
        <v>0</v>
      </c>
      <c r="H29" s="356">
        <f t="shared" si="4"/>
        <v>0</v>
      </c>
      <c r="I29" s="356">
        <f t="shared" si="4"/>
        <v>0</v>
      </c>
      <c r="J29" s="356">
        <f t="shared" si="4"/>
        <v>0</v>
      </c>
      <c r="K29" s="356">
        <f t="shared" si="4"/>
        <v>0</v>
      </c>
      <c r="L29" s="356">
        <f t="shared" si="4"/>
        <v>0</v>
      </c>
      <c r="M29" s="356">
        <f t="shared" si="3"/>
        <v>24578595</v>
      </c>
      <c r="O29" s="418"/>
      <c r="Q29" s="425"/>
      <c r="R29" s="426"/>
      <c r="S29" s="552"/>
      <c r="U29" s="538" t="s">
        <v>1049</v>
      </c>
      <c r="V29" s="296"/>
      <c r="W29" s="296"/>
      <c r="X29" s="547">
        <f>(M22+M35)*-1</f>
        <v>0</v>
      </c>
      <c r="Y29" s="626"/>
    </row>
    <row r="30" spans="1:28" s="50" customFormat="1" ht="16.5" customHeight="1">
      <c r="A30" s="293"/>
      <c r="B30" s="51"/>
      <c r="C30" s="180"/>
      <c r="D30" s="180"/>
      <c r="E30" s="180"/>
      <c r="F30" s="180"/>
      <c r="G30" s="180"/>
      <c r="H30" s="180"/>
      <c r="I30" s="180"/>
      <c r="J30" s="180"/>
      <c r="K30" s="180"/>
      <c r="L30" s="180"/>
      <c r="M30" s="543"/>
      <c r="O30" s="427" t="s">
        <v>216</v>
      </c>
      <c r="P30" s="428"/>
      <c r="Q30" s="429">
        <f>Q26+Q22</f>
        <v>27910817</v>
      </c>
      <c r="R30" s="429">
        <f>R28+R24</f>
        <v>-883288</v>
      </c>
      <c r="S30" s="553"/>
      <c r="U30" s="621" t="s">
        <v>1050</v>
      </c>
      <c r="V30" s="221"/>
      <c r="W30" s="221"/>
      <c r="X30" s="625">
        <f>SUM(X28:X29)</f>
        <v>0</v>
      </c>
      <c r="Y30" s="626"/>
    </row>
    <row r="31" spans="1:28" s="50" customFormat="1" ht="12.75" customHeight="1">
      <c r="A31" s="293"/>
      <c r="B31" s="536" t="s">
        <v>1005</v>
      </c>
      <c r="C31" s="536"/>
      <c r="D31" s="356">
        <f t="shared" ref="D31:L31" si="5">D36-SUM(D32:D35)</f>
        <v>49858</v>
      </c>
      <c r="E31" s="356">
        <f t="shared" si="5"/>
        <v>919110</v>
      </c>
      <c r="F31" s="356">
        <f t="shared" si="5"/>
        <v>1665439</v>
      </c>
      <c r="G31" s="356">
        <f t="shared" si="5"/>
        <v>0</v>
      </c>
      <c r="H31" s="356">
        <f t="shared" si="5"/>
        <v>0</v>
      </c>
      <c r="I31" s="356">
        <f t="shared" si="5"/>
        <v>0</v>
      </c>
      <c r="J31" s="356">
        <f t="shared" si="5"/>
        <v>0</v>
      </c>
      <c r="K31" s="356">
        <f t="shared" si="5"/>
        <v>0</v>
      </c>
      <c r="L31" s="356">
        <f t="shared" si="5"/>
        <v>0</v>
      </c>
      <c r="M31" s="356">
        <f t="shared" ref="M31:M42" si="6">D31+E31+F31+G31+H31+I31+J31+K31+L31</f>
        <v>2634407</v>
      </c>
      <c r="O31" s="430" t="s">
        <v>217</v>
      </c>
      <c r="P31" s="305"/>
      <c r="Q31" s="349"/>
      <c r="R31" s="305"/>
      <c r="S31" s="540"/>
      <c r="U31" s="548" t="s">
        <v>1051</v>
      </c>
      <c r="V31" s="549"/>
      <c r="W31" s="549"/>
      <c r="X31" s="550">
        <f>X27+X30</f>
        <v>297179</v>
      </c>
      <c r="Y31" s="420"/>
      <c r="Z31" s="326"/>
    </row>
    <row r="32" spans="1:28" s="50" customFormat="1" ht="12.75" customHeight="1">
      <c r="A32" s="293"/>
      <c r="B32" s="51" t="s">
        <v>638</v>
      </c>
      <c r="C32" s="51"/>
      <c r="D32" s="355">
        <f>Input!$ER$6</f>
        <v>0</v>
      </c>
      <c r="E32" s="355">
        <f>Input!$ES$6</f>
        <v>0</v>
      </c>
      <c r="F32" s="355">
        <f>Input!$ET$6</f>
        <v>0</v>
      </c>
      <c r="G32" s="355">
        <f>Input!$EU$6</f>
        <v>0</v>
      </c>
      <c r="H32" s="355">
        <f>Input!$EV$6</f>
        <v>0</v>
      </c>
      <c r="I32" s="355">
        <f>Input!$EW$6</f>
        <v>0</v>
      </c>
      <c r="J32" s="355">
        <f>Input!$EX$6</f>
        <v>0</v>
      </c>
      <c r="K32" s="355">
        <f>Input!$EY$6</f>
        <v>0</v>
      </c>
      <c r="L32" s="355">
        <f>Input!$EZ$6</f>
        <v>0</v>
      </c>
      <c r="M32" s="543">
        <f t="shared" si="6"/>
        <v>0</v>
      </c>
      <c r="O32" s="431" t="s">
        <v>1245</v>
      </c>
      <c r="P32" s="432"/>
      <c r="Q32" s="433">
        <f>Input!$TI$6</f>
        <v>27910817</v>
      </c>
      <c r="R32" s="432"/>
      <c r="S32" s="554"/>
      <c r="U32" s="538"/>
      <c r="V32" s="296"/>
      <c r="W32" s="296"/>
      <c r="Y32" s="420"/>
      <c r="Z32" s="326"/>
    </row>
    <row r="33" spans="1:28" s="50" customFormat="1">
      <c r="A33" s="293"/>
      <c r="B33" s="51" t="s">
        <v>639</v>
      </c>
      <c r="C33" s="51"/>
      <c r="D33" s="355">
        <f>Input!$FA$6</f>
        <v>0</v>
      </c>
      <c r="E33" s="355">
        <f>Input!$FB$6</f>
        <v>0</v>
      </c>
      <c r="F33" s="355">
        <f>Input!$FC$6</f>
        <v>0</v>
      </c>
      <c r="G33" s="355">
        <f>Input!$FD$6</f>
        <v>0</v>
      </c>
      <c r="H33" s="355">
        <f>Input!$FE$6</f>
        <v>0</v>
      </c>
      <c r="I33" s="355">
        <f>Input!$FF$6</f>
        <v>0</v>
      </c>
      <c r="J33" s="355">
        <f>Input!$FG$6</f>
        <v>0</v>
      </c>
      <c r="K33" s="355">
        <f>Input!$FH$6</f>
        <v>0</v>
      </c>
      <c r="L33" s="355">
        <f>Input!$FI$6</f>
        <v>0</v>
      </c>
      <c r="M33" s="543">
        <f t="shared" si="6"/>
        <v>0</v>
      </c>
      <c r="O33" s="431"/>
      <c r="P33" s="432"/>
      <c r="Q33" s="342"/>
      <c r="R33" s="432"/>
      <c r="S33" s="554"/>
      <c r="U33" s="538" t="s">
        <v>1004</v>
      </c>
      <c r="V33" s="296"/>
      <c r="W33" s="296"/>
      <c r="X33" s="347">
        <f>(M19+M32)*-1</f>
        <v>6456273</v>
      </c>
      <c r="Y33" s="420"/>
    </row>
    <row r="34" spans="1:28" s="50" customFormat="1">
      <c r="A34" s="293"/>
      <c r="B34" s="51" t="s">
        <v>640</v>
      </c>
      <c r="C34" s="51"/>
      <c r="D34" s="355">
        <f>Input!$FJ$6</f>
        <v>0</v>
      </c>
      <c r="E34" s="355">
        <f>Input!$FK$6</f>
        <v>0</v>
      </c>
      <c r="F34" s="355">
        <f>Input!$FL$6</f>
        <v>0</v>
      </c>
      <c r="G34" s="355">
        <f>Input!$FM$6</f>
        <v>0</v>
      </c>
      <c r="H34" s="355">
        <f>Input!$FN$6</f>
        <v>0</v>
      </c>
      <c r="I34" s="355">
        <f>Input!$FO$6</f>
        <v>0</v>
      </c>
      <c r="J34" s="355">
        <f>Input!$FP$6</f>
        <v>0</v>
      </c>
      <c r="K34" s="355">
        <f>Input!$FQ$6</f>
        <v>0</v>
      </c>
      <c r="L34" s="355">
        <f>Input!$FR$6</f>
        <v>0</v>
      </c>
      <c r="M34" s="543">
        <f t="shared" si="6"/>
        <v>0</v>
      </c>
      <c r="O34" s="434" t="s">
        <v>1246</v>
      </c>
      <c r="P34" s="435"/>
      <c r="Q34" s="50" t="s">
        <v>218</v>
      </c>
      <c r="R34" s="433">
        <f>Input!$TJ$6</f>
        <v>-883288</v>
      </c>
      <c r="S34" s="555"/>
      <c r="U34" s="538" t="s">
        <v>1052</v>
      </c>
      <c r="V34" s="296"/>
      <c r="W34" s="296"/>
      <c r="X34" s="426">
        <f>(M24+M37)*-1</f>
        <v>0</v>
      </c>
      <c r="Y34" s="420"/>
    </row>
    <row r="35" spans="1:28" s="50" customFormat="1" ht="13.5" thickBot="1">
      <c r="A35" s="293"/>
      <c r="B35" s="51" t="s">
        <v>641</v>
      </c>
      <c r="C35" s="51"/>
      <c r="D35" s="355">
        <f>Input!$FS$6</f>
        <v>0</v>
      </c>
      <c r="E35" s="355">
        <f>Input!$FT$6</f>
        <v>0</v>
      </c>
      <c r="F35" s="355">
        <f>Input!$FU$6</f>
        <v>0</v>
      </c>
      <c r="G35" s="355">
        <f>Input!$FV$6</f>
        <v>0</v>
      </c>
      <c r="H35" s="355">
        <f>Input!$FW$6</f>
        <v>0</v>
      </c>
      <c r="I35" s="355">
        <f>Input!$FX$6</f>
        <v>0</v>
      </c>
      <c r="J35" s="355">
        <f>Input!$FY$6</f>
        <v>0</v>
      </c>
      <c r="K35" s="355">
        <f>Input!$FZ$6</f>
        <v>0</v>
      </c>
      <c r="L35" s="355">
        <f>Input!$GA$6</f>
        <v>0</v>
      </c>
      <c r="M35" s="543">
        <f t="shared" si="6"/>
        <v>0</v>
      </c>
      <c r="O35" s="436" t="s">
        <v>219</v>
      </c>
      <c r="P35" s="437"/>
      <c r="Q35" s="438">
        <f>Q30-Q32</f>
        <v>0</v>
      </c>
      <c r="R35" s="439">
        <f>R30-R34</f>
        <v>0</v>
      </c>
      <c r="S35" s="556"/>
      <c r="U35" s="621" t="s">
        <v>1053</v>
      </c>
      <c r="V35" s="221"/>
      <c r="W35" s="221"/>
      <c r="X35" s="627">
        <f>SUM(X33:X34)</f>
        <v>6456273</v>
      </c>
      <c r="Y35" s="626"/>
    </row>
    <row r="36" spans="1:28" s="50" customFormat="1" ht="13.5" thickTop="1">
      <c r="A36" s="293"/>
      <c r="B36" s="536" t="s">
        <v>648</v>
      </c>
      <c r="C36" s="179"/>
      <c r="D36" s="541">
        <f>Input!$GB$6</f>
        <v>49858</v>
      </c>
      <c r="E36" s="541">
        <f>Input!$GC$6</f>
        <v>919110</v>
      </c>
      <c r="F36" s="541">
        <f>Input!$GD$6</f>
        <v>1665439</v>
      </c>
      <c r="G36" s="541">
        <f>Input!$GE$6</f>
        <v>0</v>
      </c>
      <c r="H36" s="541">
        <f>Input!$GF$6</f>
        <v>0</v>
      </c>
      <c r="I36" s="541">
        <f>Input!$GG$6</f>
        <v>0</v>
      </c>
      <c r="J36" s="541">
        <f>Input!$GH$6</f>
        <v>0</v>
      </c>
      <c r="K36" s="541">
        <f>Input!$GI$6</f>
        <v>0</v>
      </c>
      <c r="L36" s="541">
        <f>Input!$GJ$6</f>
        <v>0</v>
      </c>
      <c r="M36" s="542">
        <f t="shared" si="6"/>
        <v>2634407</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Input!$GK$6</f>
        <v>0</v>
      </c>
      <c r="E37" s="355">
        <f>Input!$GL$6</f>
        <v>0</v>
      </c>
      <c r="F37" s="355">
        <f>Input!$GM$6</f>
        <v>0</v>
      </c>
      <c r="G37" s="355">
        <f>Input!$GN$6</f>
        <v>0</v>
      </c>
      <c r="H37" s="355">
        <f>Input!$GO$6</f>
        <v>0</v>
      </c>
      <c r="I37" s="355">
        <f>Input!$GP$6</f>
        <v>0</v>
      </c>
      <c r="J37" s="355">
        <f>Input!$GQ$6</f>
        <v>0</v>
      </c>
      <c r="K37" s="355">
        <f>Input!$GR$6</f>
        <v>0</v>
      </c>
      <c r="L37" s="355">
        <f>Input!$GS$6</f>
        <v>0</v>
      </c>
      <c r="M37" s="543">
        <f t="shared" si="6"/>
        <v>0</v>
      </c>
      <c r="O37" s="51"/>
      <c r="U37" s="538" t="s">
        <v>1054</v>
      </c>
      <c r="V37" s="296"/>
      <c r="W37" s="296"/>
      <c r="X37" s="426">
        <f>(M25+M38)*-1</f>
        <v>0</v>
      </c>
      <c r="Y37" s="626"/>
    </row>
    <row r="38" spans="1:28" s="50" customFormat="1">
      <c r="A38" s="293"/>
      <c r="B38" s="51" t="s">
        <v>644</v>
      </c>
      <c r="C38" s="180"/>
      <c r="D38" s="355">
        <f>Input!$GT$6</f>
        <v>0</v>
      </c>
      <c r="E38" s="355">
        <f>Input!$GU$6</f>
        <v>0</v>
      </c>
      <c r="F38" s="355">
        <f>Input!$GV$6</f>
        <v>0</v>
      </c>
      <c r="G38" s="355">
        <f>Input!$GW$6</f>
        <v>0</v>
      </c>
      <c r="H38" s="355">
        <f>Input!$GX$6</f>
        <v>0</v>
      </c>
      <c r="I38" s="355">
        <f>Input!$GY$6</f>
        <v>0</v>
      </c>
      <c r="J38" s="355">
        <f>Input!$GZ$6</f>
        <v>0</v>
      </c>
      <c r="K38" s="355">
        <f>Input!$HA$6</f>
        <v>0</v>
      </c>
      <c r="L38" s="355">
        <f>Input!$HB$6</f>
        <v>0</v>
      </c>
      <c r="M38" s="543">
        <f t="shared" si="6"/>
        <v>0</v>
      </c>
      <c r="O38" s="51"/>
      <c r="U38" s="621" t="s">
        <v>1055</v>
      </c>
      <c r="V38" s="221"/>
      <c r="W38" s="221"/>
      <c r="X38" s="627">
        <f>SUM(X36:X37)</f>
        <v>0</v>
      </c>
      <c r="Y38" s="420"/>
    </row>
    <row r="39" spans="1:28" s="50" customFormat="1">
      <c r="A39" s="293"/>
      <c r="B39" s="51" t="s">
        <v>645</v>
      </c>
      <c r="C39" s="180"/>
      <c r="D39" s="355">
        <f>Input!$HC$6</f>
        <v>0</v>
      </c>
      <c r="E39" s="355">
        <f>Input!$HD$6</f>
        <v>0</v>
      </c>
      <c r="F39" s="355">
        <f>Input!$HE$6</f>
        <v>0</v>
      </c>
      <c r="G39" s="355">
        <f>Input!$HF$6</f>
        <v>0</v>
      </c>
      <c r="H39" s="355">
        <f>Input!$HG$6</f>
        <v>0</v>
      </c>
      <c r="I39" s="355">
        <f>Input!$HH$6</f>
        <v>0</v>
      </c>
      <c r="J39" s="355">
        <f>Input!$HI$6</f>
        <v>0</v>
      </c>
      <c r="K39" s="355">
        <f>Input!$HJ$6</f>
        <v>0</v>
      </c>
      <c r="L39" s="355">
        <f>Input!$HK$6</f>
        <v>0</v>
      </c>
      <c r="M39" s="543">
        <f t="shared" si="6"/>
        <v>0</v>
      </c>
      <c r="O39" s="51"/>
      <c r="U39" s="538" t="s">
        <v>1007</v>
      </c>
      <c r="V39" s="296"/>
      <c r="W39" s="296"/>
      <c r="X39" s="347"/>
      <c r="Y39" s="420">
        <f>X38+X35</f>
        <v>6456273</v>
      </c>
    </row>
    <row r="40" spans="1:28" s="50" customFormat="1">
      <c r="A40" s="293"/>
      <c r="B40" s="51" t="s">
        <v>646</v>
      </c>
      <c r="C40" s="180"/>
      <c r="D40" s="355">
        <f>Input!$HL$6</f>
        <v>0</v>
      </c>
      <c r="E40" s="355">
        <f>Input!$HM$6</f>
        <v>0</v>
      </c>
      <c r="F40" s="355">
        <f>Input!$HN$6</f>
        <v>0</v>
      </c>
      <c r="G40" s="355">
        <f>Input!$HO$6</f>
        <v>0</v>
      </c>
      <c r="H40" s="355">
        <f>Input!$HP$6</f>
        <v>0</v>
      </c>
      <c r="I40" s="355">
        <f>Input!$HQ$6</f>
        <v>0</v>
      </c>
      <c r="J40" s="355">
        <f>Input!$HR$6</f>
        <v>0</v>
      </c>
      <c r="K40" s="355">
        <f>Input!$HS$6</f>
        <v>0</v>
      </c>
      <c r="L40" s="355">
        <f>Input!$HT$6</f>
        <v>0</v>
      </c>
      <c r="M40" s="543">
        <f t="shared" si="6"/>
        <v>0</v>
      </c>
      <c r="O40" s="51"/>
      <c r="U40" s="538"/>
      <c r="V40" s="51"/>
      <c r="W40" s="51"/>
      <c r="X40" s="51"/>
      <c r="Y40" s="626"/>
    </row>
    <row r="41" spans="1:28" s="50" customFormat="1">
      <c r="A41" s="293"/>
      <c r="B41" s="51" t="s">
        <v>1361</v>
      </c>
      <c r="C41" s="180"/>
      <c r="D41" s="355">
        <f>Input!$HU$6</f>
        <v>-1607</v>
      </c>
      <c r="E41" s="355">
        <f>Input!$HV$6</f>
        <v>-23197</v>
      </c>
      <c r="F41" s="355">
        <f>Input!$HW$6</f>
        <v>-160669</v>
      </c>
      <c r="G41" s="355">
        <f>Input!$HX$6</f>
        <v>0</v>
      </c>
      <c r="H41" s="355">
        <f>Input!$HY$6</f>
        <v>0</v>
      </c>
      <c r="I41" s="355">
        <f>Input!$HZ$6</f>
        <v>0</v>
      </c>
      <c r="J41" s="355">
        <f>Input!$IA$6</f>
        <v>0</v>
      </c>
      <c r="K41" s="355">
        <f>Input!$IB$6</f>
        <v>0</v>
      </c>
      <c r="L41" s="355">
        <f>Input!$IC$6</f>
        <v>0</v>
      </c>
      <c r="M41" s="543">
        <f t="shared" si="6"/>
        <v>-185473</v>
      </c>
      <c r="O41"/>
      <c r="P41"/>
      <c r="Q41"/>
      <c r="R41"/>
      <c r="S41"/>
      <c r="U41" s="538" t="s">
        <v>1046</v>
      </c>
      <c r="V41" s="296"/>
      <c r="W41" s="296"/>
      <c r="X41" s="326">
        <f>(M21+M34)*-1</f>
        <v>0</v>
      </c>
      <c r="Y41" s="420"/>
    </row>
    <row r="42" spans="1:28" s="50" customFormat="1">
      <c r="A42" s="293"/>
      <c r="B42" s="551" t="s">
        <v>38</v>
      </c>
      <c r="C42" s="179"/>
      <c r="D42" s="356">
        <f t="shared" ref="D42:L42" si="7">SUM(D36:D41)</f>
        <v>48251</v>
      </c>
      <c r="E42" s="356">
        <f t="shared" si="7"/>
        <v>895913</v>
      </c>
      <c r="F42" s="356">
        <f t="shared" si="7"/>
        <v>1504770</v>
      </c>
      <c r="G42" s="356">
        <f t="shared" si="7"/>
        <v>0</v>
      </c>
      <c r="H42" s="356">
        <f t="shared" si="7"/>
        <v>0</v>
      </c>
      <c r="I42" s="356">
        <f t="shared" si="7"/>
        <v>0</v>
      </c>
      <c r="J42" s="356">
        <f t="shared" si="7"/>
        <v>0</v>
      </c>
      <c r="K42" s="356">
        <f t="shared" si="7"/>
        <v>0</v>
      </c>
      <c r="L42" s="356">
        <f t="shared" si="7"/>
        <v>0</v>
      </c>
      <c r="M42" s="356">
        <f t="shared" si="6"/>
        <v>2448934</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8098424</v>
      </c>
      <c r="E44" s="356">
        <f t="shared" si="8"/>
        <v>17424335</v>
      </c>
      <c r="F44" s="356">
        <f t="shared" si="8"/>
        <v>1504770</v>
      </c>
      <c r="G44" s="356">
        <f t="shared" si="8"/>
        <v>0</v>
      </c>
      <c r="H44" s="356">
        <f t="shared" si="8"/>
        <v>0</v>
      </c>
      <c r="I44" s="356">
        <f t="shared" si="8"/>
        <v>0</v>
      </c>
      <c r="J44" s="356">
        <f t="shared" si="8"/>
        <v>0</v>
      </c>
      <c r="K44" s="356">
        <f t="shared" si="8"/>
        <v>0</v>
      </c>
      <c r="L44" s="356">
        <f t="shared" si="8"/>
        <v>0</v>
      </c>
      <c r="M44" s="356">
        <f>D44+E44+F44+G44+H44+I44+J44+K44+L44</f>
        <v>27027529</v>
      </c>
      <c r="O44"/>
      <c r="P44"/>
      <c r="Q44"/>
      <c r="R44"/>
      <c r="S44"/>
      <c r="U44" s="538"/>
      <c r="V44" s="296"/>
      <c r="W44" s="296"/>
      <c r="X44" s="305"/>
      <c r="Y44" s="420"/>
    </row>
    <row r="45" spans="1:28">
      <c r="A45" s="147">
        <v>28</v>
      </c>
      <c r="D45" s="357"/>
      <c r="E45" s="357"/>
      <c r="F45" s="357"/>
      <c r="G45" s="357"/>
      <c r="H45" s="357"/>
      <c r="I45" s="357"/>
      <c r="J45" s="357"/>
      <c r="K45" s="357"/>
      <c r="L45" s="357"/>
      <c r="M45" s="357"/>
      <c r="N45" s="50"/>
      <c r="O45" s="50"/>
      <c r="R45" s="149"/>
      <c r="S45" s="149"/>
      <c r="T45" s="149"/>
      <c r="U45" s="538" t="s">
        <v>1052</v>
      </c>
      <c r="V45" s="296"/>
      <c r="W45" s="296"/>
      <c r="X45" s="347">
        <f>(M24+M37)*-1</f>
        <v>0</v>
      </c>
      <c r="Y45" s="420"/>
      <c r="Z45" s="149"/>
      <c r="AA45" s="149"/>
      <c r="AB45" s="149"/>
    </row>
    <row r="46" spans="1:28">
      <c r="A46" s="147">
        <v>29</v>
      </c>
      <c r="B46" s="151" t="s">
        <v>6</v>
      </c>
      <c r="C46" s="151"/>
      <c r="D46" s="357"/>
      <c r="E46" s="357"/>
      <c r="F46" s="357"/>
      <c r="G46" s="357"/>
      <c r="H46" s="357"/>
      <c r="I46" s="357"/>
      <c r="J46" s="357"/>
      <c r="K46" s="357"/>
      <c r="L46" s="357"/>
      <c r="M46" s="357"/>
      <c r="N46" s="50"/>
      <c r="O46" s="50"/>
      <c r="R46" s="149"/>
      <c r="S46" s="149"/>
      <c r="T46" s="149"/>
      <c r="U46" s="538" t="s">
        <v>1054</v>
      </c>
      <c r="V46" s="296"/>
      <c r="W46" s="296"/>
      <c r="X46" s="426">
        <f>(M25+M38)*-1</f>
        <v>0</v>
      </c>
      <c r="Y46" s="420"/>
      <c r="Z46" s="149"/>
      <c r="AA46" s="149"/>
      <c r="AB46" s="149"/>
    </row>
    <row r="47" spans="1:28">
      <c r="A47" s="147">
        <v>30</v>
      </c>
      <c r="B47" s="158" t="s">
        <v>7</v>
      </c>
      <c r="C47" s="158"/>
      <c r="D47" s="358">
        <f>Input!$ID$6</f>
        <v>0</v>
      </c>
      <c r="E47" s="358">
        <f>Input!$IE$6</f>
        <v>62080805</v>
      </c>
      <c r="F47" s="358">
        <f>Input!$IF$6</f>
        <v>0</v>
      </c>
      <c r="G47" s="358">
        <f>Input!$IG$6</f>
        <v>138927458</v>
      </c>
      <c r="H47" s="358">
        <f>Input!$IH$6</f>
        <v>0</v>
      </c>
      <c r="I47" s="358">
        <f>Input!$II$6</f>
        <v>0</v>
      </c>
      <c r="J47" s="358">
        <f>Input!$IJ$6</f>
        <v>0</v>
      </c>
      <c r="K47" s="358">
        <f>Input!$IK$6</f>
        <v>0</v>
      </c>
      <c r="L47" s="358">
        <f>Input!$IL$6</f>
        <v>0</v>
      </c>
      <c r="M47" s="356">
        <f>D47+E47+F47+G47+H47+I47+J47+K47+L47</f>
        <v>201008263</v>
      </c>
      <c r="N47" s="50"/>
      <c r="O47" s="50"/>
      <c r="R47" s="149"/>
      <c r="S47" s="149"/>
      <c r="T47" s="149"/>
      <c r="U47" s="628" t="s">
        <v>1057</v>
      </c>
      <c r="V47" s="18"/>
      <c r="W47" s="18"/>
      <c r="X47" s="627">
        <f>SUM(X45:X46)</f>
        <v>0</v>
      </c>
      <c r="Y47" s="626"/>
      <c r="Z47" s="149"/>
      <c r="AA47" s="149"/>
      <c r="AB47" s="149"/>
    </row>
    <row r="48" spans="1:28">
      <c r="A48" s="147">
        <v>31</v>
      </c>
      <c r="D48" s="357"/>
      <c r="E48" s="357"/>
      <c r="F48" s="357"/>
      <c r="G48" s="357"/>
      <c r="H48" s="357"/>
      <c r="I48" s="357"/>
      <c r="J48" s="357"/>
      <c r="K48" s="357"/>
      <c r="L48" s="357"/>
      <c r="M48" s="357"/>
      <c r="O48" s="302"/>
      <c r="U48" s="538"/>
      <c r="V48" s="51"/>
      <c r="W48" s="51"/>
      <c r="X48" s="51"/>
      <c r="Y48" s="629">
        <f>X43-X47</f>
        <v>0</v>
      </c>
    </row>
    <row r="49" spans="1:28">
      <c r="A49" s="147">
        <v>32</v>
      </c>
      <c r="B49" s="151" t="s">
        <v>57</v>
      </c>
      <c r="C49" s="151"/>
      <c r="D49" s="357"/>
      <c r="E49" s="357"/>
      <c r="F49" s="357"/>
      <c r="G49" s="357"/>
      <c r="H49" s="357"/>
      <c r="I49" s="357"/>
      <c r="J49" s="357"/>
      <c r="K49" s="357"/>
      <c r="L49" s="357"/>
      <c r="M49" s="357"/>
      <c r="O49" s="302"/>
      <c r="U49" s="557" t="s">
        <v>214</v>
      </c>
      <c r="V49" s="483"/>
      <c r="W49" s="558"/>
      <c r="X49" s="558"/>
      <c r="Y49" s="550">
        <f>SUM(Y23:Y48)</f>
        <v>34367090</v>
      </c>
    </row>
    <row r="50" spans="1:28">
      <c r="A50" s="147">
        <v>33</v>
      </c>
      <c r="B50" s="158" t="s">
        <v>56</v>
      </c>
      <c r="C50" s="158"/>
      <c r="D50" s="358">
        <f>Input!$IM$6</f>
        <v>0</v>
      </c>
      <c r="E50" s="358">
        <f>Input!$IN$6</f>
        <v>665714950</v>
      </c>
      <c r="F50" s="358">
        <f>Input!$IO$6</f>
        <v>0</v>
      </c>
      <c r="G50" s="358">
        <f>Input!$IP$6</f>
        <v>0</v>
      </c>
      <c r="H50" s="358">
        <f>Input!$IQ$6</f>
        <v>0</v>
      </c>
      <c r="I50" s="358">
        <f>Input!$IR$6</f>
        <v>0</v>
      </c>
      <c r="J50" s="358">
        <f>Input!$IS$6</f>
        <v>0</v>
      </c>
      <c r="K50" s="358">
        <f>Input!$IT$6</f>
        <v>0</v>
      </c>
      <c r="L50" s="358">
        <f>Input!$IU$6</f>
        <v>0</v>
      </c>
      <c r="M50" s="356">
        <f>D50+E50+F50+G50+H50+I50+J50+K50+L50</f>
        <v>665714950</v>
      </c>
      <c r="O50" s="302"/>
      <c r="U50" s="304"/>
    </row>
    <row r="51" spans="1:28">
      <c r="A51" s="147">
        <v>34</v>
      </c>
      <c r="B51" s="159"/>
      <c r="C51" s="159"/>
      <c r="D51" s="346"/>
      <c r="E51" s="346"/>
      <c r="F51" s="346"/>
      <c r="G51" s="346"/>
      <c r="H51" s="346"/>
      <c r="I51" s="346"/>
      <c r="J51" s="346"/>
      <c r="K51" s="346"/>
      <c r="L51" s="346"/>
      <c r="M51" s="346"/>
      <c r="X51" s="306"/>
    </row>
    <row r="52" spans="1:28">
      <c r="A52" s="147">
        <v>35</v>
      </c>
      <c r="B52" s="151" t="s">
        <v>55</v>
      </c>
      <c r="C52" s="151"/>
      <c r="D52" s="357"/>
      <c r="E52" s="357"/>
      <c r="F52" s="357"/>
      <c r="G52" s="357"/>
      <c r="H52" s="357"/>
      <c r="I52" s="357"/>
      <c r="J52" s="357"/>
      <c r="K52" s="357"/>
      <c r="L52" s="357"/>
      <c r="M52" s="357"/>
      <c r="X52" s="306"/>
    </row>
    <row r="53" spans="1:28">
      <c r="A53" s="147">
        <v>36</v>
      </c>
      <c r="B53" s="158" t="s">
        <v>56</v>
      </c>
      <c r="C53" s="158"/>
      <c r="D53" s="358">
        <f>Input!$IV$6</f>
        <v>0</v>
      </c>
      <c r="E53" s="358">
        <f>Input!$IW$6</f>
        <v>1308148971</v>
      </c>
      <c r="F53" s="358">
        <f>Input!$IX$6</f>
        <v>0</v>
      </c>
      <c r="G53" s="358">
        <f>Input!$IY$6</f>
        <v>0</v>
      </c>
      <c r="H53" s="358">
        <f>Input!$IZ$6</f>
        <v>0</v>
      </c>
      <c r="I53" s="358">
        <f>Input!$JA$6</f>
        <v>0</v>
      </c>
      <c r="J53" s="358">
        <f>Input!$JB$6</f>
        <v>0</v>
      </c>
      <c r="K53" s="358">
        <f>Input!$JC$6</f>
        <v>0</v>
      </c>
      <c r="L53" s="358">
        <f>Input!$JD$6</f>
        <v>0</v>
      </c>
      <c r="M53" s="356">
        <f>D53+E53+F53+G53+H53+I53+J53+K53+L53</f>
        <v>1308148971</v>
      </c>
      <c r="X53" s="306"/>
    </row>
    <row r="54" spans="1:28">
      <c r="A54" s="147">
        <v>37</v>
      </c>
      <c r="B54" s="159"/>
      <c r="C54" s="159"/>
      <c r="D54" s="357"/>
      <c r="E54" s="357"/>
      <c r="F54" s="357"/>
      <c r="G54" s="357"/>
      <c r="H54" s="357"/>
      <c r="I54" s="357"/>
      <c r="J54" s="357"/>
      <c r="K54" s="357"/>
      <c r="L54" s="357"/>
      <c r="M54" s="357"/>
      <c r="X54" s="306"/>
    </row>
    <row r="55" spans="1:28">
      <c r="A55" s="147">
        <v>38</v>
      </c>
      <c r="B55" s="151" t="s">
        <v>8</v>
      </c>
      <c r="C55" s="151"/>
      <c r="D55" s="357"/>
      <c r="E55" s="357"/>
      <c r="F55" s="357"/>
      <c r="G55" s="357"/>
      <c r="H55" s="357"/>
      <c r="I55" s="357"/>
      <c r="J55" s="357"/>
      <c r="K55" s="357"/>
      <c r="L55" s="357"/>
      <c r="M55" s="357"/>
      <c r="X55" s="306"/>
    </row>
    <row r="56" spans="1:28">
      <c r="A56" s="147">
        <v>39</v>
      </c>
      <c r="B56" s="149" t="s">
        <v>40</v>
      </c>
      <c r="D56" s="355">
        <f>Input!$JE$6</f>
        <v>265395</v>
      </c>
      <c r="E56" s="355">
        <f>Input!$JF$6</f>
        <v>84203398</v>
      </c>
      <c r="F56" s="355">
        <f>Input!$JG$6</f>
        <v>2278</v>
      </c>
      <c r="G56" s="355">
        <f>Input!$JH$6</f>
        <v>48039863</v>
      </c>
      <c r="H56" s="355">
        <f>Input!$JI$6</f>
        <v>33832</v>
      </c>
      <c r="I56" s="355">
        <f>Input!$JJ$6</f>
        <v>710178</v>
      </c>
      <c r="J56" s="355">
        <f>Input!$JK$6</f>
        <v>0</v>
      </c>
      <c r="K56" s="355">
        <f>Input!$JL$6</f>
        <v>0</v>
      </c>
      <c r="L56" s="355">
        <f>Input!$JM$6</f>
        <v>0</v>
      </c>
      <c r="M56" s="357">
        <f t="shared" ref="M56:M62" si="9">D56+E56+F56+G56+H56+I56+J56+K56+L56</f>
        <v>133254944</v>
      </c>
      <c r="X56" s="306"/>
    </row>
    <row r="57" spans="1:28">
      <c r="A57" s="147">
        <v>40</v>
      </c>
      <c r="B57" s="149" t="s">
        <v>9</v>
      </c>
      <c r="D57" s="355">
        <f>Input!$JN$6</f>
        <v>0</v>
      </c>
      <c r="E57" s="355">
        <f>Input!$JO$6</f>
        <v>208653954</v>
      </c>
      <c r="F57" s="355">
        <f>Input!$JP$6</f>
        <v>0</v>
      </c>
      <c r="G57" s="355">
        <f>Input!$JQ$6</f>
        <v>377925</v>
      </c>
      <c r="H57" s="355">
        <f>Input!$JR$6</f>
        <v>0</v>
      </c>
      <c r="I57" s="355">
        <f>Input!$JS$6</f>
        <v>0</v>
      </c>
      <c r="J57" s="355">
        <f>Input!$JT$6</f>
        <v>0</v>
      </c>
      <c r="K57" s="355">
        <f>Input!$JU$6</f>
        <v>0</v>
      </c>
      <c r="L57" s="355">
        <f>Input!$JV$6</f>
        <v>0</v>
      </c>
      <c r="M57" s="357">
        <f t="shared" si="9"/>
        <v>209031879</v>
      </c>
      <c r="O57" s="50"/>
      <c r="P57" s="307"/>
    </row>
    <row r="58" spans="1:28">
      <c r="A58" s="147">
        <v>41</v>
      </c>
      <c r="B58" s="149" t="s">
        <v>10</v>
      </c>
      <c r="D58" s="355">
        <f>Input!$JW$6</f>
        <v>0</v>
      </c>
      <c r="E58" s="355">
        <f>Input!$JX$6</f>
        <v>35676031</v>
      </c>
      <c r="F58" s="355">
        <f>Input!$JY$6</f>
        <v>0</v>
      </c>
      <c r="G58" s="355">
        <f>Input!$JZ$6</f>
        <v>136716563</v>
      </c>
      <c r="H58" s="355">
        <f>Input!$KA$6</f>
        <v>0</v>
      </c>
      <c r="I58" s="355">
        <f>Input!$KB$6</f>
        <v>0</v>
      </c>
      <c r="J58" s="355">
        <f>Input!$KC$6</f>
        <v>0</v>
      </c>
      <c r="K58" s="355">
        <f>Input!$KD$6</f>
        <v>0</v>
      </c>
      <c r="L58" s="355">
        <f>Input!$KE$6</f>
        <v>0</v>
      </c>
      <c r="M58" s="357">
        <f t="shared" si="9"/>
        <v>172392594</v>
      </c>
      <c r="O58" s="302"/>
    </row>
    <row r="59" spans="1:28" ht="13.5" thickBot="1">
      <c r="A59" s="147">
        <v>42</v>
      </c>
      <c r="B59" s="149" t="s">
        <v>54</v>
      </c>
      <c r="D59" s="355">
        <f>Input!$KF$6</f>
        <v>0</v>
      </c>
      <c r="E59" s="355">
        <f>Input!$KG$6</f>
        <v>7821706</v>
      </c>
      <c r="F59" s="355">
        <f>Input!$KH$6</f>
        <v>0</v>
      </c>
      <c r="G59" s="355">
        <f>Input!$KI$6</f>
        <v>1798948</v>
      </c>
      <c r="H59" s="355">
        <f>Input!$KJ$6</f>
        <v>0</v>
      </c>
      <c r="I59" s="355">
        <f>Input!$KK$6</f>
        <v>0</v>
      </c>
      <c r="J59" s="355">
        <f>Input!$KL$6</f>
        <v>0</v>
      </c>
      <c r="K59" s="355">
        <f>Input!$KM$6</f>
        <v>0</v>
      </c>
      <c r="L59" s="355">
        <f>Input!$KN$6</f>
        <v>0</v>
      </c>
      <c r="M59" s="357">
        <f t="shared" si="9"/>
        <v>9620654</v>
      </c>
      <c r="O59" s="302"/>
    </row>
    <row r="60" spans="1:28" ht="16.5" thickTop="1" thickBot="1">
      <c r="A60" s="147">
        <v>43</v>
      </c>
      <c r="B60" s="183" t="s">
        <v>1362</v>
      </c>
      <c r="C60" s="159"/>
      <c r="D60" s="355">
        <f>Input!$KO$6</f>
        <v>0</v>
      </c>
      <c r="E60" s="355">
        <f>Input!$KP$6</f>
        <v>0</v>
      </c>
      <c r="F60" s="355">
        <f>Input!$KQ$6</f>
        <v>26351428</v>
      </c>
      <c r="G60" s="355">
        <f>Input!$KR$6</f>
        <v>0</v>
      </c>
      <c r="H60" s="355">
        <f>Input!$KS$6</f>
        <v>0</v>
      </c>
      <c r="I60" s="355">
        <f>Input!$KT$6</f>
        <v>0</v>
      </c>
      <c r="J60" s="355">
        <f>Input!$KU$6</f>
        <v>0</v>
      </c>
      <c r="K60" s="355">
        <f>Input!$KV$6</f>
        <v>0</v>
      </c>
      <c r="L60" s="355">
        <f>Input!$KW$6</f>
        <v>0</v>
      </c>
      <c r="M60" s="357">
        <f t="shared" si="9"/>
        <v>26351428</v>
      </c>
      <c r="O60" s="1315" t="s">
        <v>177</v>
      </c>
      <c r="P60" s="1316"/>
      <c r="Q60" s="1317"/>
      <c r="R60" s="1317"/>
      <c r="S60" s="1318"/>
      <c r="T60" s="308"/>
      <c r="U60" s="493"/>
      <c r="V60" s="308"/>
      <c r="W60" s="1288" t="s">
        <v>1241</v>
      </c>
      <c r="X60" s="1289"/>
      <c r="Y60" s="1290"/>
      <c r="Z60" s="309"/>
      <c r="AA60" s="309"/>
      <c r="AB60" s="309"/>
    </row>
    <row r="61" spans="1:28" ht="13.5" thickTop="1">
      <c r="A61" s="147">
        <v>44</v>
      </c>
      <c r="B61" s="149" t="s">
        <v>41</v>
      </c>
      <c r="D61" s="355">
        <f>Input!$KX$6</f>
        <v>116188</v>
      </c>
      <c r="E61" s="355">
        <f>Input!$KY$6</f>
        <v>141991832</v>
      </c>
      <c r="F61" s="355">
        <f>Input!$KZ$6</f>
        <v>0</v>
      </c>
      <c r="G61" s="355">
        <f>Input!$LA$6</f>
        <v>537971</v>
      </c>
      <c r="H61" s="355">
        <f>Input!$LB$6</f>
        <v>0</v>
      </c>
      <c r="I61" s="355">
        <f>Input!$LC$6</f>
        <v>0</v>
      </c>
      <c r="J61" s="355">
        <f>Input!$LD$6</f>
        <v>0</v>
      </c>
      <c r="K61" s="355">
        <f>Input!$LE$6</f>
        <v>0</v>
      </c>
      <c r="L61" s="355">
        <f>Input!$LF$6</f>
        <v>-2924275</v>
      </c>
      <c r="M61" s="357">
        <f t="shared" si="9"/>
        <v>139721716</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c r="A62" s="147">
        <v>45</v>
      </c>
      <c r="B62" s="158" t="s">
        <v>3</v>
      </c>
      <c r="C62" s="158"/>
      <c r="D62" s="356">
        <f t="shared" ref="D62:L62" si="10">SUM(D56:D61)</f>
        <v>381583</v>
      </c>
      <c r="E62" s="356">
        <f t="shared" si="10"/>
        <v>478346921</v>
      </c>
      <c r="F62" s="356">
        <f t="shared" si="10"/>
        <v>26353706</v>
      </c>
      <c r="G62" s="356">
        <f t="shared" si="10"/>
        <v>187471270</v>
      </c>
      <c r="H62" s="356">
        <f t="shared" si="10"/>
        <v>33832</v>
      </c>
      <c r="I62" s="356">
        <f t="shared" si="10"/>
        <v>710178</v>
      </c>
      <c r="J62" s="356">
        <f t="shared" si="10"/>
        <v>0</v>
      </c>
      <c r="K62" s="356">
        <f t="shared" si="10"/>
        <v>0</v>
      </c>
      <c r="L62" s="356">
        <f t="shared" si="10"/>
        <v>-2924275</v>
      </c>
      <c r="M62" s="356">
        <f t="shared" si="9"/>
        <v>690373215</v>
      </c>
      <c r="O62" s="1302"/>
      <c r="P62" s="1305"/>
      <c r="Q62" s="1305"/>
      <c r="R62" s="1305"/>
      <c r="S62" s="1320"/>
      <c r="T62" s="308"/>
      <c r="U62" s="1286"/>
      <c r="V62" s="308"/>
      <c r="W62" s="1299"/>
      <c r="X62" s="1291"/>
      <c r="Y62" s="1293"/>
      <c r="Z62" s="306"/>
      <c r="AA62" s="306"/>
      <c r="AB62" s="306"/>
    </row>
    <row r="63" spans="1:28">
      <c r="A63" s="147">
        <v>46</v>
      </c>
      <c r="B63" s="160" t="s">
        <v>71</v>
      </c>
      <c r="C63" s="160"/>
      <c r="D63" s="356">
        <f>D15+D44+D47+D50+D53+D62</f>
        <v>201698607</v>
      </c>
      <c r="E63" s="356">
        <f t="shared" ref="E63:M63" si="11">E15+E44+E47+E50+E53+E62</f>
        <v>2533253863</v>
      </c>
      <c r="F63" s="356">
        <f t="shared" si="11"/>
        <v>27858476</v>
      </c>
      <c r="G63" s="356">
        <f t="shared" si="11"/>
        <v>364801545</v>
      </c>
      <c r="H63" s="356">
        <f t="shared" si="11"/>
        <v>33832</v>
      </c>
      <c r="I63" s="356">
        <f t="shared" si="11"/>
        <v>710178</v>
      </c>
      <c r="J63" s="356">
        <f t="shared" si="11"/>
        <v>0</v>
      </c>
      <c r="K63" s="356">
        <f t="shared" si="11"/>
        <v>0</v>
      </c>
      <c r="L63" s="356">
        <f t="shared" si="11"/>
        <v>-2924275</v>
      </c>
      <c r="M63" s="356">
        <f t="shared" si="11"/>
        <v>3125432226</v>
      </c>
      <c r="O63" s="1302"/>
      <c r="P63" s="1305"/>
      <c r="Q63" s="1305"/>
      <c r="R63" s="1305"/>
      <c r="S63" s="1320"/>
      <c r="T63" s="308"/>
      <c r="U63" s="1286"/>
      <c r="V63" s="308"/>
      <c r="W63" s="1299"/>
      <c r="X63" s="1291"/>
      <c r="Y63" s="1293"/>
      <c r="Z63" s="306"/>
      <c r="AA63" s="306"/>
      <c r="AB63" s="306"/>
    </row>
    <row r="64" spans="1:28" ht="19.5" customHeight="1" thickBot="1">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ht="13.5" customHeight="1" thickTop="1" thickBot="1">
      <c r="A65" s="147">
        <v>48</v>
      </c>
      <c r="B65" s="161" t="s">
        <v>14</v>
      </c>
      <c r="C65" s="161"/>
      <c r="D65" s="355">
        <f>Input!$LG$6</f>
        <v>89854277</v>
      </c>
      <c r="E65" s="355">
        <f>Input!$LH$6</f>
        <v>858390009</v>
      </c>
      <c r="F65" s="355">
        <f>Input!$LI$6</f>
        <v>0</v>
      </c>
      <c r="G65" s="355">
        <f>Input!$LJ$6</f>
        <v>3547546</v>
      </c>
      <c r="H65" s="355">
        <f>Input!$LK$6</f>
        <v>0</v>
      </c>
      <c r="I65" s="355">
        <f>Input!$LL$6</f>
        <v>0</v>
      </c>
      <c r="J65" s="355">
        <f>Input!$LM$6</f>
        <v>0</v>
      </c>
      <c r="K65" s="355">
        <f>Input!$LN$6</f>
        <v>0</v>
      </c>
      <c r="L65" s="355">
        <f>Input!$LO$6</f>
        <v>0</v>
      </c>
      <c r="M65" s="357">
        <f t="shared" ref="M65:M77" si="12">D65+E65+F65+G65+H65+I65+J65+K65+L65</f>
        <v>951791832</v>
      </c>
      <c r="O65" s="310">
        <f>D65+E65+G65</f>
        <v>951791832</v>
      </c>
      <c r="P65" s="311">
        <f>Input!$TK$6</f>
        <v>2290949</v>
      </c>
      <c r="Q65" s="311">
        <f>Input!$TU$6</f>
        <v>0</v>
      </c>
      <c r="R65" s="311">
        <f>Input!$UD$6</f>
        <v>0</v>
      </c>
      <c r="S65" s="312">
        <f>O65+P65-Q65-R65</f>
        <v>954082781</v>
      </c>
      <c r="T65" s="313"/>
      <c r="U65" s="494">
        <f>D65+E65+F65+G65+J65</f>
        <v>951791832</v>
      </c>
      <c r="V65" s="313"/>
      <c r="W65" s="314" t="s">
        <v>14</v>
      </c>
      <c r="X65" s="487">
        <f>Input!$UO$6</f>
        <v>951791832</v>
      </c>
      <c r="Y65" s="315">
        <f t="shared" ref="Y65:Y74" si="13">X65-M65</f>
        <v>0</v>
      </c>
      <c r="Z65" s="313"/>
      <c r="AA65" s="313"/>
      <c r="AB65" s="313"/>
    </row>
    <row r="66" spans="1:28" ht="14.25" thickTop="1" thickBot="1">
      <c r="A66" s="147">
        <v>49</v>
      </c>
      <c r="B66" s="161" t="s">
        <v>15</v>
      </c>
      <c r="C66" s="161"/>
      <c r="D66" s="355">
        <f>Input!$LP$6</f>
        <v>37476367</v>
      </c>
      <c r="E66" s="355">
        <f>Input!$LQ$6</f>
        <v>29384464</v>
      </c>
      <c r="F66" s="355">
        <f>Input!$LR$6</f>
        <v>0</v>
      </c>
      <c r="G66" s="355">
        <f>Input!$LS$6</f>
        <v>296275876</v>
      </c>
      <c r="H66" s="355">
        <f>Input!$LT$6</f>
        <v>0</v>
      </c>
      <c r="I66" s="355">
        <f>Input!$LU$6</f>
        <v>0</v>
      </c>
      <c r="J66" s="355">
        <f>Input!$LV$6</f>
        <v>0</v>
      </c>
      <c r="K66" s="355">
        <f>Input!$LW$6</f>
        <v>0</v>
      </c>
      <c r="L66" s="355">
        <f>Input!$LX$6</f>
        <v>0</v>
      </c>
      <c r="M66" s="357">
        <f t="shared" si="12"/>
        <v>363136707</v>
      </c>
      <c r="O66" s="316">
        <f t="shared" ref="O66:O72" si="14">D66+E66+G66</f>
        <v>363136707</v>
      </c>
      <c r="P66" s="317">
        <f>Input!$TL$6</f>
        <v>10321951</v>
      </c>
      <c r="Q66" s="317">
        <f>Input!$TV$6</f>
        <v>2483499</v>
      </c>
      <c r="R66" s="317">
        <f>Input!$UE$6</f>
        <v>693105</v>
      </c>
      <c r="S66" s="318">
        <f>O66+P66-Q66-R66</f>
        <v>370282054</v>
      </c>
      <c r="T66" s="313"/>
      <c r="U66" s="495">
        <f t="shared" ref="U66:U76" si="15">D66+E66+F66+G66+J66</f>
        <v>363136707</v>
      </c>
      <c r="V66" s="313"/>
      <c r="W66" s="314" t="s">
        <v>15</v>
      </c>
      <c r="X66" s="363">
        <f>Input!$UP$6</f>
        <v>363136707</v>
      </c>
      <c r="Y66" s="319">
        <f t="shared" si="13"/>
        <v>0</v>
      </c>
      <c r="Z66" s="320"/>
      <c r="AA66" s="320"/>
      <c r="AB66" s="320"/>
    </row>
    <row r="67" spans="1:28" ht="13.5" thickTop="1">
      <c r="A67" s="147">
        <v>50</v>
      </c>
      <c r="B67" s="161" t="s">
        <v>16</v>
      </c>
      <c r="C67" s="161"/>
      <c r="D67" s="355">
        <f>Input!$LY$6</f>
        <v>835239</v>
      </c>
      <c r="E67" s="355">
        <f>Input!$LZ$6</f>
        <v>27402580</v>
      </c>
      <c r="F67" s="355">
        <f>Input!$MA$6</f>
        <v>0</v>
      </c>
      <c r="G67" s="355">
        <f>Input!$MB$6</f>
        <v>2957038</v>
      </c>
      <c r="H67" s="355">
        <f>Input!$MC$6</f>
        <v>0</v>
      </c>
      <c r="I67" s="355">
        <f>Input!$MD$6</f>
        <v>0</v>
      </c>
      <c r="J67" s="355">
        <f>Input!$ME$6</f>
        <v>0</v>
      </c>
      <c r="K67" s="355">
        <f>Input!$MF$6</f>
        <v>0</v>
      </c>
      <c r="L67" s="355">
        <f>Input!$MG$6</f>
        <v>0</v>
      </c>
      <c r="M67" s="357">
        <f t="shared" si="12"/>
        <v>31194857</v>
      </c>
      <c r="O67" s="316">
        <f t="shared" si="14"/>
        <v>31194857</v>
      </c>
      <c r="P67" s="317">
        <f>Input!$TM$6</f>
        <v>8507</v>
      </c>
      <c r="Q67" s="317">
        <f>Input!$TW$6</f>
        <v>0</v>
      </c>
      <c r="R67" s="317">
        <f>Input!$UF$6</f>
        <v>0</v>
      </c>
      <c r="S67" s="321">
        <f t="shared" ref="S67:S72" si="16">O67+P67-Q67-R67</f>
        <v>31203364</v>
      </c>
      <c r="T67" s="320"/>
      <c r="U67" s="495">
        <f t="shared" si="15"/>
        <v>31194857</v>
      </c>
      <c r="V67" s="320"/>
      <c r="W67" s="314" t="s">
        <v>16</v>
      </c>
      <c r="X67" s="363">
        <f>Input!$UQ$6</f>
        <v>31194857</v>
      </c>
      <c r="Y67" s="319">
        <f t="shared" si="13"/>
        <v>0</v>
      </c>
      <c r="Z67" s="320"/>
      <c r="AA67" s="320"/>
      <c r="AB67" s="320"/>
    </row>
    <row r="68" spans="1:28">
      <c r="A68" s="147">
        <v>51</v>
      </c>
      <c r="B68" s="161" t="s">
        <v>55</v>
      </c>
      <c r="C68" s="161"/>
      <c r="D68" s="355">
        <f>Input!$MH$6</f>
        <v>0</v>
      </c>
      <c r="E68" s="355">
        <f>Input!$MI$6</f>
        <v>1210555336</v>
      </c>
      <c r="F68" s="355">
        <f>Input!$MJ$6</f>
        <v>0</v>
      </c>
      <c r="G68" s="355">
        <f>Input!$MK$6</f>
        <v>112380</v>
      </c>
      <c r="H68" s="355">
        <f>Input!$ML$6</f>
        <v>0</v>
      </c>
      <c r="I68" s="355">
        <f>Input!$MM$6</f>
        <v>0</v>
      </c>
      <c r="J68" s="355">
        <f>Input!$MN$6</f>
        <v>0</v>
      </c>
      <c r="K68" s="355">
        <f>Input!$MO$6</f>
        <v>0</v>
      </c>
      <c r="L68" s="355">
        <f>Input!$MP$6</f>
        <v>0</v>
      </c>
      <c r="M68" s="357">
        <f t="shared" si="12"/>
        <v>1210667716</v>
      </c>
      <c r="O68" s="316">
        <f t="shared" si="14"/>
        <v>1210667716</v>
      </c>
      <c r="P68" s="317">
        <f>Input!$TN$6</f>
        <v>6247</v>
      </c>
      <c r="Q68" s="317">
        <f>Input!$TX$6</f>
        <v>0</v>
      </c>
      <c r="R68" s="317">
        <f>Input!$UG$6</f>
        <v>0</v>
      </c>
      <c r="S68" s="321">
        <f t="shared" si="16"/>
        <v>1210673963</v>
      </c>
      <c r="T68" s="320"/>
      <c r="U68" s="495">
        <f t="shared" si="15"/>
        <v>1210667716</v>
      </c>
      <c r="V68" s="320"/>
      <c r="W68" s="314" t="s">
        <v>55</v>
      </c>
      <c r="X68" s="363">
        <f>Input!$UR$6</f>
        <v>1210667716</v>
      </c>
      <c r="Y68" s="319">
        <f t="shared" si="13"/>
        <v>0</v>
      </c>
      <c r="Z68" s="320"/>
      <c r="AA68" s="320"/>
      <c r="AB68" s="320"/>
    </row>
    <row r="69" spans="1:28">
      <c r="A69" s="147">
        <v>52</v>
      </c>
      <c r="B69" s="161" t="s">
        <v>17</v>
      </c>
      <c r="C69" s="161"/>
      <c r="D69" s="355">
        <f>Input!$MQ$6</f>
        <v>7728190</v>
      </c>
      <c r="E69" s="355">
        <f>Input!$MR$6</f>
        <v>13465018</v>
      </c>
      <c r="F69" s="355">
        <f>Input!$MS$6</f>
        <v>0</v>
      </c>
      <c r="G69" s="355">
        <f>Input!$MT$6</f>
        <v>2673663</v>
      </c>
      <c r="H69" s="355">
        <f>Input!$MU$6</f>
        <v>0</v>
      </c>
      <c r="I69" s="355">
        <f>Input!$MV$6</f>
        <v>0</v>
      </c>
      <c r="J69" s="355">
        <f>Input!$MW$6</f>
        <v>0</v>
      </c>
      <c r="K69" s="355">
        <f>Input!$MX$6</f>
        <v>0</v>
      </c>
      <c r="L69" s="355">
        <f>Input!$MY$6</f>
        <v>0</v>
      </c>
      <c r="M69" s="357">
        <f t="shared" si="12"/>
        <v>23866871</v>
      </c>
      <c r="O69" s="316">
        <f t="shared" si="14"/>
        <v>23866871</v>
      </c>
      <c r="P69" s="317">
        <f>Input!$TO$6</f>
        <v>252166</v>
      </c>
      <c r="Q69" s="317">
        <f>Input!$TY$6</f>
        <v>0</v>
      </c>
      <c r="R69" s="317">
        <f>Input!$UH$6</f>
        <v>0</v>
      </c>
      <c r="S69" s="321">
        <f t="shared" si="16"/>
        <v>24119037</v>
      </c>
      <c r="T69" s="320"/>
      <c r="U69" s="495">
        <f t="shared" si="15"/>
        <v>23866871</v>
      </c>
      <c r="V69" s="320"/>
      <c r="W69" s="314" t="s">
        <v>17</v>
      </c>
      <c r="X69" s="363">
        <f>Input!$US$6</f>
        <v>23866871</v>
      </c>
      <c r="Y69" s="319">
        <f t="shared" si="13"/>
        <v>0</v>
      </c>
      <c r="Z69" s="320"/>
      <c r="AA69" s="320"/>
      <c r="AB69" s="320"/>
    </row>
    <row r="70" spans="1:28">
      <c r="A70" s="147">
        <v>53</v>
      </c>
      <c r="B70" s="161" t="s">
        <v>18</v>
      </c>
      <c r="C70" s="161"/>
      <c r="D70" s="355">
        <f>Input!$MZ$6</f>
        <v>2656989</v>
      </c>
      <c r="E70" s="355">
        <f>Input!$NA$6</f>
        <v>1303963</v>
      </c>
      <c r="F70" s="355">
        <f>Input!$NB$6</f>
        <v>0</v>
      </c>
      <c r="G70" s="355">
        <f>Input!$NC$6</f>
        <v>91181</v>
      </c>
      <c r="H70" s="355">
        <f>Input!$ND$6</f>
        <v>-47711</v>
      </c>
      <c r="I70" s="355">
        <f>Input!$NE$6</f>
        <v>0</v>
      </c>
      <c r="J70" s="355">
        <f>Input!$NF$6</f>
        <v>0</v>
      </c>
      <c r="K70" s="355">
        <f>Input!$NG$6</f>
        <v>0</v>
      </c>
      <c r="L70" s="355">
        <f>Input!$NH$6</f>
        <v>0</v>
      </c>
      <c r="M70" s="357">
        <f t="shared" si="12"/>
        <v>4004422</v>
      </c>
      <c r="O70" s="316">
        <f t="shared" si="14"/>
        <v>4052133</v>
      </c>
      <c r="P70" s="317">
        <f>Input!$TP$6</f>
        <v>13500</v>
      </c>
      <c r="Q70" s="317">
        <f>Input!$TZ$6</f>
        <v>0</v>
      </c>
      <c r="R70" s="317">
        <f>Input!$UI$6</f>
        <v>0</v>
      </c>
      <c r="S70" s="321">
        <f t="shared" si="16"/>
        <v>4065633</v>
      </c>
      <c r="T70" s="320"/>
      <c r="U70" s="495">
        <f t="shared" si="15"/>
        <v>4052133</v>
      </c>
      <c r="V70" s="320"/>
      <c r="W70" s="314" t="s">
        <v>18</v>
      </c>
      <c r="X70" s="363">
        <f>Input!$UT$6</f>
        <v>4004422</v>
      </c>
      <c r="Y70" s="319">
        <f t="shared" si="13"/>
        <v>0</v>
      </c>
      <c r="Z70" s="320"/>
      <c r="AA70" s="320"/>
      <c r="AB70" s="320"/>
    </row>
    <row r="71" spans="1:28">
      <c r="A71" s="147">
        <v>54</v>
      </c>
      <c r="B71" s="161" t="s">
        <v>19</v>
      </c>
      <c r="C71" s="161"/>
      <c r="D71" s="355">
        <f>Input!$NI$6</f>
        <v>29031359</v>
      </c>
      <c r="E71" s="355">
        <f>Input!$NJ$6</f>
        <v>34908072</v>
      </c>
      <c r="F71" s="355">
        <f>Input!$NK$6</f>
        <v>0</v>
      </c>
      <c r="G71" s="355">
        <f>Input!$NL$6</f>
        <v>7056388</v>
      </c>
      <c r="H71" s="355">
        <f>Input!$NM$6</f>
        <v>0</v>
      </c>
      <c r="I71" s="355">
        <f>Input!$NN$6</f>
        <v>0</v>
      </c>
      <c r="J71" s="355">
        <f>Input!$NO$6</f>
        <v>0</v>
      </c>
      <c r="K71" s="355">
        <f>Input!$NP$6</f>
        <v>0</v>
      </c>
      <c r="L71" s="355">
        <f>Input!$NQ$6</f>
        <v>0</v>
      </c>
      <c r="M71" s="357">
        <f t="shared" si="12"/>
        <v>70995819</v>
      </c>
      <c r="O71" s="316">
        <f t="shared" si="14"/>
        <v>70995819</v>
      </c>
      <c r="P71" s="317">
        <f>Input!$TQ$6</f>
        <v>1348732</v>
      </c>
      <c r="Q71" s="317">
        <f>Input!$UA$6</f>
        <v>0</v>
      </c>
      <c r="R71" s="317">
        <f>Input!$UJ$6</f>
        <v>0</v>
      </c>
      <c r="S71" s="321">
        <f t="shared" si="16"/>
        <v>72344551</v>
      </c>
      <c r="T71" s="320"/>
      <c r="U71" s="495">
        <f t="shared" si="15"/>
        <v>70995819</v>
      </c>
      <c r="V71" s="320"/>
      <c r="W71" s="314" t="s">
        <v>19</v>
      </c>
      <c r="X71" s="363">
        <f>Input!$UU$6</f>
        <v>70995819</v>
      </c>
      <c r="Y71" s="319">
        <f t="shared" si="13"/>
        <v>0</v>
      </c>
      <c r="Z71" s="320"/>
      <c r="AA71" s="320"/>
      <c r="AB71" s="320"/>
    </row>
    <row r="72" spans="1:28">
      <c r="A72" s="147">
        <v>55</v>
      </c>
      <c r="B72" s="161" t="s">
        <v>20</v>
      </c>
      <c r="C72" s="161"/>
      <c r="D72" s="355">
        <f>Input!$NR$6</f>
        <v>17630656</v>
      </c>
      <c r="E72" s="355">
        <f>Input!$NS$6</f>
        <v>36909047</v>
      </c>
      <c r="F72" s="355">
        <f>Input!$NT$6</f>
        <v>0</v>
      </c>
      <c r="G72" s="355">
        <f>Input!$NU$6</f>
        <v>837850</v>
      </c>
      <c r="H72" s="355">
        <f>Input!$NV$6</f>
        <v>0</v>
      </c>
      <c r="I72" s="355">
        <f>Input!$NW$6</f>
        <v>0</v>
      </c>
      <c r="J72" s="355">
        <f>Input!$NX$6</f>
        <v>28346719</v>
      </c>
      <c r="K72" s="355">
        <f>Input!$NY$6</f>
        <v>0</v>
      </c>
      <c r="L72" s="355">
        <f>Input!$NZ$6</f>
        <v>0</v>
      </c>
      <c r="M72" s="357">
        <f t="shared" si="12"/>
        <v>83724272</v>
      </c>
      <c r="O72" s="316">
        <f t="shared" si="14"/>
        <v>55377553</v>
      </c>
      <c r="P72" s="317">
        <f>Input!$TR$6</f>
        <v>188095</v>
      </c>
      <c r="Q72" s="317">
        <f>Input!$UB$6</f>
        <v>0</v>
      </c>
      <c r="R72" s="317">
        <f>Input!$UK$6</f>
        <v>0</v>
      </c>
      <c r="S72" s="321">
        <f t="shared" si="16"/>
        <v>55565648</v>
      </c>
      <c r="T72" s="320"/>
      <c r="U72" s="495">
        <f t="shared" si="15"/>
        <v>83724272</v>
      </c>
      <c r="V72" s="320"/>
      <c r="W72" s="314" t="s">
        <v>184</v>
      </c>
      <c r="X72" s="363">
        <f>Input!$UV$6</f>
        <v>83724272</v>
      </c>
      <c r="Y72" s="319">
        <f t="shared" si="13"/>
        <v>0</v>
      </c>
      <c r="Z72" s="320"/>
      <c r="AA72" s="320"/>
      <c r="AB72" s="320"/>
    </row>
    <row r="73" spans="1:28" ht="13.5" thickBot="1">
      <c r="A73" s="147">
        <v>56</v>
      </c>
      <c r="B73" s="161" t="s">
        <v>21</v>
      </c>
      <c r="C73" s="161"/>
      <c r="D73" s="355">
        <f>Input!$OA$6</f>
        <v>96755</v>
      </c>
      <c r="E73" s="355">
        <f>Input!$OB$6</f>
        <v>26581</v>
      </c>
      <c r="F73" s="355">
        <f>Input!$OC$6</f>
        <v>0</v>
      </c>
      <c r="G73" s="355">
        <f>Input!$OD$6</f>
        <v>4336792</v>
      </c>
      <c r="H73" s="355">
        <f>Input!$OE$6</f>
        <v>0</v>
      </c>
      <c r="I73" s="355">
        <f>Input!$OF$6</f>
        <v>0</v>
      </c>
      <c r="J73" s="355">
        <f>Input!$OG$6</f>
        <v>0</v>
      </c>
      <c r="K73" s="355">
        <f>Input!$OH$6</f>
        <v>0</v>
      </c>
      <c r="L73" s="355">
        <f>Input!$OI$6</f>
        <v>0</v>
      </c>
      <c r="M73" s="357">
        <f t="shared" si="12"/>
        <v>4460128</v>
      </c>
      <c r="O73" s="322">
        <f>D73+E73+G73</f>
        <v>4460128</v>
      </c>
      <c r="P73" s="317">
        <f>Input!$TS$6</f>
        <v>0</v>
      </c>
      <c r="Q73" s="323">
        <f>Input!$UC$6</f>
        <v>0</v>
      </c>
      <c r="R73" s="323">
        <f>Input!$UL$6</f>
        <v>0</v>
      </c>
      <c r="S73" s="324">
        <f>O73+P73-Q73-R73</f>
        <v>4460128</v>
      </c>
      <c r="T73" s="325"/>
      <c r="U73" s="495">
        <f t="shared" si="15"/>
        <v>4460128</v>
      </c>
      <c r="V73" s="325"/>
      <c r="W73" s="314" t="s">
        <v>21</v>
      </c>
      <c r="X73" s="363">
        <f>Input!$UW$6</f>
        <v>4460128</v>
      </c>
      <c r="Y73" s="319">
        <f t="shared" si="13"/>
        <v>0</v>
      </c>
      <c r="Z73" s="320"/>
      <c r="AA73" s="320"/>
      <c r="AB73" s="320"/>
    </row>
    <row r="74" spans="1:28" ht="13.5" thickTop="1">
      <c r="A74" s="147">
        <v>57</v>
      </c>
      <c r="B74" s="392" t="s">
        <v>1363</v>
      </c>
      <c r="C74" s="161"/>
      <c r="D74" s="355">
        <f>Input!$OJ$6</f>
        <v>0</v>
      </c>
      <c r="E74" s="355">
        <f>Input!$OK$6</f>
        <v>27454</v>
      </c>
      <c r="F74" s="355">
        <f>Input!$OL$6</f>
        <v>24039289</v>
      </c>
      <c r="G74" s="355">
        <f>Input!$OM$6</f>
        <v>0</v>
      </c>
      <c r="H74" s="355">
        <f>Input!$ON$6</f>
        <v>0</v>
      </c>
      <c r="I74" s="355">
        <f>Input!$OO$6</f>
        <v>0</v>
      </c>
      <c r="J74" s="355">
        <f>Input!$OP$6</f>
        <v>0</v>
      </c>
      <c r="K74" s="355">
        <f>Input!$OQ$6</f>
        <v>0</v>
      </c>
      <c r="L74" s="355">
        <f>Input!$OR$6</f>
        <v>0</v>
      </c>
      <c r="M74" s="357">
        <f t="shared" si="12"/>
        <v>24066743</v>
      </c>
      <c r="O74" s="326"/>
      <c r="P74" s="858">
        <f>Input!$TT$6</f>
        <v>13510</v>
      </c>
      <c r="Q74" s="327"/>
      <c r="R74" s="328"/>
      <c r="S74" s="329">
        <f>SUM(S65:S73)</f>
        <v>2726797159</v>
      </c>
      <c r="T74" s="328"/>
      <c r="U74" s="495">
        <f t="shared" si="15"/>
        <v>24066743</v>
      </c>
      <c r="V74" s="328"/>
      <c r="W74" s="314" t="s">
        <v>22</v>
      </c>
      <c r="X74" s="363">
        <f>Input!$UX$6</f>
        <v>24066743</v>
      </c>
      <c r="Y74" s="319">
        <f t="shared" si="13"/>
        <v>0</v>
      </c>
      <c r="Z74" s="320"/>
      <c r="AA74" s="320"/>
      <c r="AB74" s="320"/>
    </row>
    <row r="75" spans="1:28">
      <c r="A75" s="147">
        <v>58</v>
      </c>
      <c r="B75" s="162" t="s">
        <v>62</v>
      </c>
      <c r="C75" s="162"/>
      <c r="D75" s="355">
        <f>Input!$OS$6</f>
        <v>0</v>
      </c>
      <c r="E75" s="355">
        <f>Input!$OT$6</f>
        <v>6461032</v>
      </c>
      <c r="F75" s="355">
        <f>Input!$OU$6</f>
        <v>13510</v>
      </c>
      <c r="G75" s="355">
        <f>Input!$OV$6</f>
        <v>7969115</v>
      </c>
      <c r="H75" s="355">
        <f>Input!$OW$6</f>
        <v>0</v>
      </c>
      <c r="I75" s="355">
        <f>Input!$OX$6</f>
        <v>0</v>
      </c>
      <c r="J75" s="355">
        <f>Input!$OY$6</f>
        <v>0</v>
      </c>
      <c r="K75" s="355">
        <f>Input!$OZ$6</f>
        <v>0</v>
      </c>
      <c r="L75" s="355">
        <f>Input!$PA$6</f>
        <v>0</v>
      </c>
      <c r="M75" s="357">
        <f t="shared" si="12"/>
        <v>14443657</v>
      </c>
      <c r="O75" s="326"/>
      <c r="P75" s="326">
        <f>SUM(P65:P74)</f>
        <v>14443657</v>
      </c>
      <c r="Q75" s="327" t="s">
        <v>185</v>
      </c>
      <c r="R75" s="328"/>
      <c r="S75" s="330"/>
      <c r="T75" s="328"/>
      <c r="U75" s="495">
        <f t="shared" si="15"/>
        <v>14443657</v>
      </c>
      <c r="V75" s="328"/>
      <c r="W75" s="314" t="s">
        <v>186</v>
      </c>
      <c r="X75" s="331">
        <f>M93*-1</f>
        <v>174313878</v>
      </c>
      <c r="Y75" s="319">
        <f>X75+M93</f>
        <v>0</v>
      </c>
      <c r="Z75" s="332"/>
      <c r="AA75" s="332"/>
      <c r="AB75" s="332"/>
    </row>
    <row r="76" spans="1:28" ht="13.5" thickBot="1">
      <c r="A76" s="147">
        <v>59</v>
      </c>
      <c r="B76" s="163" t="s">
        <v>42</v>
      </c>
      <c r="C76" s="163"/>
      <c r="D76" s="359">
        <f>Input!$PB$6</f>
        <v>0</v>
      </c>
      <c r="E76" s="359">
        <f>Input!$PC$6</f>
        <v>0</v>
      </c>
      <c r="F76" s="359">
        <f>Input!$PD$6</f>
        <v>0</v>
      </c>
      <c r="G76" s="359">
        <f>Input!$PE$6</f>
        <v>0</v>
      </c>
      <c r="H76" s="359">
        <f>Input!$PF$6</f>
        <v>4701500</v>
      </c>
      <c r="I76" s="359">
        <f>Input!$PG$6</f>
        <v>0</v>
      </c>
      <c r="J76" s="359">
        <f>Input!$PH$6</f>
        <v>3058042</v>
      </c>
      <c r="K76" s="359">
        <f>Input!$PI$6</f>
        <v>0</v>
      </c>
      <c r="L76" s="359">
        <f>Input!$PJ$6</f>
        <v>0</v>
      </c>
      <c r="M76" s="357">
        <f t="shared" si="12"/>
        <v>7759542</v>
      </c>
      <c r="O76" s="326"/>
      <c r="P76" s="484" t="str">
        <f>IF(P75&lt;&gt;M75,"Out of Balance","Balanced")</f>
        <v>Balanced</v>
      </c>
      <c r="Q76" s="1322" t="s">
        <v>187</v>
      </c>
      <c r="R76" s="1323"/>
      <c r="S76" s="412">
        <f>Input!$UM$6</f>
        <v>3227619488</v>
      </c>
      <c r="T76" s="333"/>
      <c r="U76" s="496">
        <f t="shared" si="15"/>
        <v>3058042</v>
      </c>
      <c r="V76" s="333"/>
      <c r="W76" s="408" t="s">
        <v>190</v>
      </c>
      <c r="X76" s="411" t="s">
        <v>213</v>
      </c>
      <c r="Y76" s="409">
        <f>M95</f>
        <v>0</v>
      </c>
      <c r="Z76" s="313"/>
      <c r="AA76" s="313"/>
      <c r="AB76" s="313"/>
    </row>
    <row r="77" spans="1:28" ht="14.25" thickTop="1" thickBot="1">
      <c r="A77" s="147">
        <v>60</v>
      </c>
      <c r="B77" s="164" t="s">
        <v>72</v>
      </c>
      <c r="C77" s="164"/>
      <c r="D77" s="356">
        <f t="shared" ref="D77:L77" si="17">SUM(D65:D76)</f>
        <v>185309832</v>
      </c>
      <c r="E77" s="356">
        <f t="shared" si="17"/>
        <v>2218833556</v>
      </c>
      <c r="F77" s="356">
        <f t="shared" si="17"/>
        <v>24052799</v>
      </c>
      <c r="G77" s="356">
        <f t="shared" si="17"/>
        <v>325857829</v>
      </c>
      <c r="H77" s="356">
        <f t="shared" si="17"/>
        <v>4653789</v>
      </c>
      <c r="I77" s="356">
        <f t="shared" si="17"/>
        <v>0</v>
      </c>
      <c r="J77" s="356">
        <f t="shared" si="17"/>
        <v>31404761</v>
      </c>
      <c r="K77" s="356">
        <f t="shared" si="17"/>
        <v>0</v>
      </c>
      <c r="L77" s="356">
        <f t="shared" si="17"/>
        <v>0</v>
      </c>
      <c r="M77" s="356">
        <f t="shared" si="12"/>
        <v>2790112566</v>
      </c>
      <c r="O77" s="50"/>
      <c r="P77" s="326"/>
      <c r="Q77" s="334" t="s">
        <v>188</v>
      </c>
      <c r="R77" s="335"/>
      <c r="S77" s="413">
        <f>Input!$UN$6</f>
        <v>1919470517</v>
      </c>
      <c r="T77" s="336"/>
      <c r="U77" s="497">
        <f>SUM(U65:U76)</f>
        <v>2785458777</v>
      </c>
      <c r="V77" s="336"/>
      <c r="W77" s="336"/>
      <c r="X77" s="337">
        <f>SUM(X65:X76)</f>
        <v>2942223245</v>
      </c>
      <c r="Y77" s="410">
        <f>SUM(Y65:Y76)</f>
        <v>0</v>
      </c>
      <c r="Z77" s="336"/>
      <c r="AA77" s="336"/>
      <c r="AB77" s="336"/>
    </row>
    <row r="78" spans="1:28" ht="14.25" thickTop="1" thickBot="1">
      <c r="A78" s="147">
        <v>61</v>
      </c>
      <c r="D78" s="357"/>
      <c r="E78" s="357"/>
      <c r="F78" s="357"/>
      <c r="G78" s="357"/>
      <c r="H78" s="357"/>
      <c r="I78" s="357"/>
      <c r="J78" s="357"/>
      <c r="K78" s="357"/>
      <c r="L78" s="357"/>
      <c r="M78" s="357"/>
      <c r="O78" s="50"/>
      <c r="Q78" s="338" t="s">
        <v>189</v>
      </c>
      <c r="R78" s="339"/>
      <c r="S78" s="340">
        <f>S74-S76+S77</f>
        <v>1418648188</v>
      </c>
      <c r="T78" s="333"/>
      <c r="U78" s="333"/>
      <c r="V78" s="333"/>
      <c r="W78" s="336"/>
      <c r="X78" s="336"/>
      <c r="Y78" s="485" t="str">
        <f>IF(Y77&lt;&gt;0,"Out of Balance","Balanced")</f>
        <v>Balanced</v>
      </c>
      <c r="Z78" s="341"/>
      <c r="AA78" s="341"/>
      <c r="AB78" s="341"/>
    </row>
    <row r="79" spans="1:28" ht="13.5" thickTop="1">
      <c r="A79" s="147">
        <v>62</v>
      </c>
      <c r="B79" s="151" t="s">
        <v>23</v>
      </c>
      <c r="C79" s="151"/>
      <c r="D79" s="357"/>
      <c r="E79" s="357"/>
      <c r="F79" s="357"/>
      <c r="G79" s="357"/>
      <c r="H79" s="357"/>
      <c r="I79" s="357"/>
      <c r="J79" s="357"/>
      <c r="K79" s="357"/>
      <c r="L79" s="357"/>
      <c r="M79" s="357"/>
      <c r="O79" s="333"/>
      <c r="Q79" s="342"/>
      <c r="R79" s="305"/>
      <c r="S79" s="343"/>
      <c r="T79" s="333"/>
      <c r="U79" s="333"/>
      <c r="V79" s="336"/>
      <c r="W79" s="341"/>
      <c r="X79" s="341"/>
      <c r="Y79" s="341"/>
      <c r="Z79" s="341"/>
      <c r="AA79" s="341"/>
      <c r="AB79" s="341"/>
    </row>
    <row r="80" spans="1:28">
      <c r="A80" s="147">
        <v>63</v>
      </c>
      <c r="B80" s="149" t="s">
        <v>63</v>
      </c>
      <c r="D80" s="355">
        <f>Input!$PK$6</f>
        <v>0</v>
      </c>
      <c r="E80" s="355">
        <f>Input!$PL$6</f>
        <v>0</v>
      </c>
      <c r="F80" s="355">
        <f>Input!$PM$6</f>
        <v>0</v>
      </c>
      <c r="G80" s="355">
        <f>Input!$PN$6</f>
        <v>0</v>
      </c>
      <c r="H80" s="355">
        <f>Input!$PO$6</f>
        <v>0</v>
      </c>
      <c r="I80" s="355">
        <f>Input!$PP$6</f>
        <v>0</v>
      </c>
      <c r="J80" s="355">
        <f>Input!$PQ$6</f>
        <v>-255246721</v>
      </c>
      <c r="K80" s="355">
        <f>Input!$PR$6</f>
        <v>0</v>
      </c>
      <c r="L80" s="355">
        <f>Input!$PS$6</f>
        <v>0</v>
      </c>
      <c r="M80" s="357">
        <f>D80+E80+F80+G80+H80+I80+J80+K80+L80</f>
        <v>-255246721</v>
      </c>
      <c r="O80" s="326"/>
      <c r="P80" s="333"/>
      <c r="Q80" s="342"/>
      <c r="R80" s="305"/>
      <c r="S80" s="343"/>
      <c r="T80" s="344"/>
      <c r="U80" s="345"/>
      <c r="V80" s="336"/>
      <c r="W80" s="341"/>
      <c r="X80" s="305"/>
      <c r="Y80" s="305"/>
      <c r="Z80" s="305"/>
      <c r="AA80" s="305"/>
      <c r="AB80" s="305"/>
    </row>
    <row r="81" spans="1:28" ht="13.5" thickBot="1">
      <c r="A81" s="147">
        <v>64</v>
      </c>
      <c r="B81" s="157" t="s">
        <v>615</v>
      </c>
      <c r="D81" s="355">
        <f>Input!$PT$6</f>
        <v>363429</v>
      </c>
      <c r="E81" s="355">
        <f>Input!$PU$6</f>
        <v>-85542464</v>
      </c>
      <c r="F81" s="355">
        <f>Input!$PV$6</f>
        <v>9693902</v>
      </c>
      <c r="G81" s="355">
        <f>Input!$PW$6</f>
        <v>-8458898</v>
      </c>
      <c r="H81" s="355">
        <f>Input!$PX$6</f>
        <v>-1149801</v>
      </c>
      <c r="I81" s="355">
        <f>Input!$PY$6</f>
        <v>14059002</v>
      </c>
      <c r="J81" s="355">
        <f>Input!$PZ$6</f>
        <v>76720215</v>
      </c>
      <c r="K81" s="355">
        <f>Input!$QA$6</f>
        <v>0</v>
      </c>
      <c r="L81" s="355">
        <f>Input!$QB$6</f>
        <v>-540101</v>
      </c>
      <c r="M81" s="357">
        <f>D81+E81+F81+G81+H81+I81+J81+K81+L81</f>
        <v>5145284</v>
      </c>
      <c r="O81" s="326"/>
      <c r="P81" s="326"/>
      <c r="Q81" s="342"/>
      <c r="R81" s="305"/>
      <c r="S81" s="343"/>
      <c r="T81" s="343"/>
      <c r="U81" s="344"/>
      <c r="V81" s="305"/>
      <c r="W81" s="305"/>
      <c r="X81" s="305"/>
      <c r="Y81" s="305"/>
      <c r="Z81" s="305"/>
      <c r="AA81" s="305"/>
      <c r="AB81" s="305"/>
    </row>
    <row r="82" spans="1:28" ht="14.25" thickTop="1" thickBot="1">
      <c r="A82" s="147">
        <v>65</v>
      </c>
      <c r="B82" s="165" t="s">
        <v>53</v>
      </c>
      <c r="C82" s="165"/>
      <c r="D82" s="355">
        <f>Input!$QC$6</f>
        <v>0</v>
      </c>
      <c r="E82" s="355">
        <f>Input!$QD$6</f>
        <v>0</v>
      </c>
      <c r="F82" s="355">
        <f>Input!$QE$6</f>
        <v>0</v>
      </c>
      <c r="G82" s="355">
        <f>Input!$QF$6</f>
        <v>0</v>
      </c>
      <c r="H82" s="355">
        <f>Input!$QG$6</f>
        <v>0</v>
      </c>
      <c r="I82" s="355">
        <f>Input!$QH$6</f>
        <v>0</v>
      </c>
      <c r="J82" s="355">
        <f>Input!$QI$6</f>
        <v>93897679</v>
      </c>
      <c r="K82" s="355">
        <f>Input!$QJ$6</f>
        <v>0</v>
      </c>
      <c r="L82" s="355">
        <f>Input!$QK$6</f>
        <v>0</v>
      </c>
      <c r="M82" s="357">
        <f>D82+E82+F82+G82+H82+I82+J82+K82+L82</f>
        <v>93897679</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ht="13.5" thickTop="1">
      <c r="A83" s="147">
        <v>66</v>
      </c>
      <c r="B83" s="149" t="s">
        <v>43</v>
      </c>
      <c r="D83" s="355">
        <f>Input!$QL$6</f>
        <v>-18518400</v>
      </c>
      <c r="E83" s="355">
        <f>Input!$QM$6</f>
        <v>-73718262</v>
      </c>
      <c r="F83" s="355">
        <f>Input!$QN$6</f>
        <v>-9353776</v>
      </c>
      <c r="G83" s="355">
        <f>Input!$QO$6</f>
        <v>0</v>
      </c>
      <c r="H83" s="355">
        <f>Input!$QP$6</f>
        <v>0</v>
      </c>
      <c r="I83" s="355">
        <f>Input!$QQ$6</f>
        <v>0</v>
      </c>
      <c r="J83" s="355">
        <f>Input!$QR$6</f>
        <v>-155328</v>
      </c>
      <c r="K83" s="355">
        <f>Input!$QS$6</f>
        <v>0</v>
      </c>
      <c r="L83" s="355">
        <f>Input!$QT$6</f>
        <v>0</v>
      </c>
      <c r="M83" s="357">
        <f>D83+E83+F83+G83+H83+I83+J83+K83+L83</f>
        <v>-101745766</v>
      </c>
      <c r="O83" s="346"/>
      <c r="P83" s="458" t="s">
        <v>596</v>
      </c>
      <c r="Q83" s="459"/>
      <c r="R83" s="460"/>
      <c r="S83" s="461">
        <f>IF(M91&lt;0,"N/A",M91)</f>
        <v>137445668</v>
      </c>
      <c r="T83" s="326"/>
      <c r="U83" s="343"/>
      <c r="V83" s="305"/>
      <c r="W83" s="305"/>
      <c r="X83" s="343"/>
      <c r="Y83" s="343"/>
      <c r="Z83" s="305"/>
      <c r="AA83" s="305"/>
      <c r="AB83" s="305"/>
    </row>
    <row r="84" spans="1:28">
      <c r="A84" s="147">
        <v>67</v>
      </c>
      <c r="B84" s="164" t="s">
        <v>3</v>
      </c>
      <c r="C84" s="164"/>
      <c r="D84" s="356">
        <f t="shared" ref="D84:L84" si="18">SUM(D80:D83)</f>
        <v>-18154971</v>
      </c>
      <c r="E84" s="356">
        <f t="shared" si="18"/>
        <v>-159260726</v>
      </c>
      <c r="F84" s="356">
        <f t="shared" si="18"/>
        <v>340126</v>
      </c>
      <c r="G84" s="356">
        <f t="shared" si="18"/>
        <v>-8458898</v>
      </c>
      <c r="H84" s="356">
        <f t="shared" si="18"/>
        <v>-1149801</v>
      </c>
      <c r="I84" s="356">
        <f t="shared" si="18"/>
        <v>14059002</v>
      </c>
      <c r="J84" s="356">
        <f t="shared" si="18"/>
        <v>-84784155</v>
      </c>
      <c r="K84" s="356">
        <f t="shared" si="18"/>
        <v>0</v>
      </c>
      <c r="L84" s="356">
        <f t="shared" si="18"/>
        <v>-540101</v>
      </c>
      <c r="M84" s="356">
        <f>D84+E84+F84+G84+H84+I84+J84+K84+L84</f>
        <v>-257949524</v>
      </c>
      <c r="O84" s="346"/>
      <c r="P84" s="462" t="s">
        <v>597</v>
      </c>
      <c r="Q84" s="347"/>
      <c r="R84" s="347"/>
      <c r="S84" s="492">
        <f>Input!$UY$6</f>
        <v>77370136</v>
      </c>
      <c r="T84" s="326"/>
      <c r="U84" s="342"/>
      <c r="V84" s="305"/>
      <c r="W84" s="343"/>
      <c r="X84" s="343"/>
      <c r="Y84" s="343"/>
      <c r="Z84" s="305"/>
      <c r="AA84" s="305"/>
      <c r="AB84" s="305"/>
    </row>
    <row r="85" spans="1:28">
      <c r="A85" s="147">
        <v>68</v>
      </c>
      <c r="D85" s="357"/>
      <c r="E85" s="357"/>
      <c r="F85" s="357"/>
      <c r="G85" s="357"/>
      <c r="H85" s="357"/>
      <c r="I85" s="357"/>
      <c r="J85" s="357"/>
      <c r="K85" s="357"/>
      <c r="L85" s="357"/>
      <c r="M85" s="357"/>
      <c r="O85" s="346"/>
      <c r="P85" s="462" t="s">
        <v>598</v>
      </c>
      <c r="Q85" s="305"/>
      <c r="R85" s="347"/>
      <c r="S85" s="464">
        <f>IF(M91&lt;0,"",S83-S84)</f>
        <v>60075532</v>
      </c>
      <c r="T85" s="326"/>
      <c r="U85" s="342"/>
      <c r="V85" s="305"/>
      <c r="W85" s="305"/>
      <c r="X85" s="343"/>
      <c r="Y85" s="343"/>
      <c r="Z85" s="305"/>
      <c r="AA85" s="305"/>
      <c r="AB85" s="305"/>
    </row>
    <row r="86" spans="1:28">
      <c r="A86" s="147">
        <v>69</v>
      </c>
      <c r="B86" s="151" t="s">
        <v>24</v>
      </c>
      <c r="C86" s="151"/>
      <c r="D86" s="357"/>
      <c r="E86" s="357"/>
      <c r="F86" s="357"/>
      <c r="G86" s="357"/>
      <c r="H86" s="357"/>
      <c r="I86" s="357"/>
      <c r="J86" s="357"/>
      <c r="K86" s="357"/>
      <c r="L86" s="357"/>
      <c r="M86" s="357"/>
      <c r="P86" s="465"/>
      <c r="Q86" s="305"/>
      <c r="R86" s="347"/>
      <c r="S86" s="466"/>
      <c r="T86" s="326"/>
      <c r="U86" s="347"/>
      <c r="V86" s="296"/>
      <c r="W86" s="344"/>
      <c r="X86" s="343"/>
      <c r="Y86" s="343"/>
      <c r="Z86" s="305"/>
      <c r="AA86" s="305"/>
      <c r="AB86" s="305"/>
    </row>
    <row r="87" spans="1:28">
      <c r="A87" s="147">
        <v>70</v>
      </c>
      <c r="B87" s="149" t="s">
        <v>44</v>
      </c>
      <c r="D87" s="355">
        <f>Input!$QU$6</f>
        <v>0</v>
      </c>
      <c r="E87" s="355">
        <f>Input!$QV$6</f>
        <v>5285364</v>
      </c>
      <c r="F87" s="355">
        <f>Input!$QW$6</f>
        <v>-110137</v>
      </c>
      <c r="G87" s="355">
        <f>Input!$QX$6</f>
        <v>-7017978</v>
      </c>
      <c r="H87" s="355">
        <f>Input!$QY$6</f>
        <v>-38890</v>
      </c>
      <c r="I87" s="355">
        <f>Input!$QZ$6</f>
        <v>49089394</v>
      </c>
      <c r="J87" s="355">
        <f>Input!$RA$6</f>
        <v>-7265483</v>
      </c>
      <c r="K87" s="355">
        <f>Input!$RB$6</f>
        <v>0</v>
      </c>
      <c r="L87" s="355">
        <f>Input!$RC$6</f>
        <v>0</v>
      </c>
      <c r="M87" s="357">
        <f>D87+E87+F87+G87+H87+I87+J87+K87+L87</f>
        <v>39942270</v>
      </c>
      <c r="P87" s="467" t="s">
        <v>599</v>
      </c>
      <c r="Q87" s="305"/>
      <c r="R87" s="347"/>
      <c r="S87" s="463">
        <f>Input!$UZ$6</f>
        <v>39942270</v>
      </c>
      <c r="W87" s="305"/>
      <c r="X87" s="343"/>
      <c r="Y87" s="343"/>
      <c r="Z87" s="305"/>
      <c r="AA87" s="305"/>
      <c r="AB87" s="305"/>
    </row>
    <row r="88" spans="1:28">
      <c r="A88" s="147">
        <v>71</v>
      </c>
      <c r="B88" s="149" t="s">
        <v>45</v>
      </c>
      <c r="D88" s="355">
        <f>Input!$RD$6</f>
        <v>0</v>
      </c>
      <c r="E88" s="355">
        <f>Input!$RE$6</f>
        <v>0</v>
      </c>
      <c r="F88" s="355">
        <f>Input!$RF$6</f>
        <v>0</v>
      </c>
      <c r="G88" s="355">
        <f>Input!$RG$6</f>
        <v>322976</v>
      </c>
      <c r="H88" s="355">
        <f>Input!$RH$6</f>
        <v>0</v>
      </c>
      <c r="I88" s="355">
        <f>Input!$RI$6</f>
        <v>19810286</v>
      </c>
      <c r="J88" s="355">
        <f>Input!$RJ$6</f>
        <v>0</v>
      </c>
      <c r="K88" s="355">
        <f>Input!$RK$6</f>
        <v>0</v>
      </c>
      <c r="L88" s="355">
        <f>Input!$RL$6</f>
        <v>0</v>
      </c>
      <c r="M88" s="357">
        <f>D88+E88+F88+G88+H88+I88+J88+K88+L88</f>
        <v>20133262</v>
      </c>
      <c r="O88" s="302"/>
      <c r="P88" s="468" t="s">
        <v>600</v>
      </c>
      <c r="Q88" s="305"/>
      <c r="R88" s="305"/>
      <c r="S88" s="469"/>
      <c r="X88" s="344"/>
      <c r="Y88" s="344"/>
      <c r="Z88" s="305"/>
      <c r="AA88" s="305"/>
      <c r="AB88" s="305"/>
    </row>
    <row r="89" spans="1:28">
      <c r="A89" s="147">
        <v>72</v>
      </c>
      <c r="B89" s="164" t="s">
        <v>3</v>
      </c>
      <c r="C89" s="164"/>
      <c r="D89" s="356">
        <f t="shared" ref="D89:L89" si="19">SUM(D87:D88)</f>
        <v>0</v>
      </c>
      <c r="E89" s="356">
        <f t="shared" si="19"/>
        <v>5285364</v>
      </c>
      <c r="F89" s="356">
        <f t="shared" si="19"/>
        <v>-110137</v>
      </c>
      <c r="G89" s="356">
        <f t="shared" si="19"/>
        <v>-6695002</v>
      </c>
      <c r="H89" s="356">
        <f t="shared" si="19"/>
        <v>-38890</v>
      </c>
      <c r="I89" s="356">
        <f t="shared" si="19"/>
        <v>68899680</v>
      </c>
      <c r="J89" s="356">
        <f t="shared" si="19"/>
        <v>-7265483</v>
      </c>
      <c r="K89" s="356">
        <f t="shared" si="19"/>
        <v>0</v>
      </c>
      <c r="L89" s="356">
        <f t="shared" si="19"/>
        <v>0</v>
      </c>
      <c r="M89" s="356">
        <f>D89+E89+F89+G89+H89+I89+J89+K89+L89</f>
        <v>60075532</v>
      </c>
      <c r="P89" s="470" t="s">
        <v>601</v>
      </c>
      <c r="Q89" s="305"/>
      <c r="R89" s="305"/>
      <c r="S89" s="464">
        <f>IFERROR(S85-S87,"")</f>
        <v>20133262</v>
      </c>
      <c r="X89" s="305"/>
      <c r="Y89" s="305"/>
      <c r="Z89" s="305"/>
      <c r="AA89" s="305"/>
      <c r="AB89" s="305"/>
    </row>
    <row r="90" spans="1:28">
      <c r="A90" s="147">
        <v>73</v>
      </c>
      <c r="D90" s="357"/>
      <c r="E90" s="357"/>
      <c r="F90" s="357"/>
      <c r="G90" s="357"/>
      <c r="H90" s="357"/>
      <c r="I90" s="357"/>
      <c r="J90" s="357"/>
      <c r="K90" s="357"/>
      <c r="L90" s="357"/>
      <c r="M90" s="357"/>
      <c r="P90" s="465"/>
      <c r="Q90" s="305"/>
      <c r="R90" s="305"/>
      <c r="S90" s="469"/>
    </row>
    <row r="91" spans="1:28" ht="13.5" thickBot="1">
      <c r="A91" s="147">
        <v>74</v>
      </c>
      <c r="B91" s="164" t="s">
        <v>617</v>
      </c>
      <c r="C91" s="164"/>
      <c r="D91" s="356">
        <f t="shared" ref="D91:K91" si="20">D63-D77+D84+D89</f>
        <v>-1766196</v>
      </c>
      <c r="E91" s="356">
        <f t="shared" si="20"/>
        <v>160444945</v>
      </c>
      <c r="F91" s="356">
        <f t="shared" si="20"/>
        <v>4035666</v>
      </c>
      <c r="G91" s="356">
        <f t="shared" si="20"/>
        <v>23789816</v>
      </c>
      <c r="H91" s="356">
        <f t="shared" si="20"/>
        <v>-5808648</v>
      </c>
      <c r="I91" s="356">
        <f t="shared" si="20"/>
        <v>83668860</v>
      </c>
      <c r="J91" s="356">
        <f t="shared" si="20"/>
        <v>-123454399</v>
      </c>
      <c r="K91" s="356">
        <f t="shared" si="20"/>
        <v>0</v>
      </c>
      <c r="L91" s="356">
        <f>L63-L77+L84+L89</f>
        <v>-3464376</v>
      </c>
      <c r="M91" s="356">
        <f>D91+E91+F91+G91+H91+I91+J91+K91+L91</f>
        <v>137445668</v>
      </c>
      <c r="P91" s="471" t="s">
        <v>602</v>
      </c>
      <c r="Q91" s="472"/>
      <c r="R91" s="472"/>
      <c r="S91" s="473">
        <f>IFERROR((S89+S87)-S85,"")</f>
        <v>0</v>
      </c>
    </row>
    <row r="92" spans="1:28" ht="13.5" thickTop="1">
      <c r="A92" s="147">
        <v>75</v>
      </c>
      <c r="D92" s="357"/>
      <c r="E92" s="357"/>
      <c r="F92" s="357"/>
      <c r="G92" s="357"/>
      <c r="H92" s="357"/>
      <c r="I92" s="357"/>
      <c r="J92" s="357"/>
      <c r="K92" s="357"/>
      <c r="L92" s="357"/>
      <c r="M92" s="357"/>
    </row>
    <row r="93" spans="1:28">
      <c r="A93" s="147">
        <v>77</v>
      </c>
      <c r="B93" s="51" t="s">
        <v>69</v>
      </c>
      <c r="C93" s="51"/>
      <c r="D93" s="355">
        <f>Input!$RM$6</f>
        <v>0</v>
      </c>
      <c r="E93" s="355">
        <f>Input!$RN$6</f>
        <v>0</v>
      </c>
      <c r="F93" s="355">
        <f>Input!$RO$6</f>
        <v>0</v>
      </c>
      <c r="G93" s="355">
        <f>Input!$RP$6</f>
        <v>0</v>
      </c>
      <c r="H93" s="355">
        <f>Input!$RQ$6</f>
        <v>0</v>
      </c>
      <c r="I93" s="355">
        <f>Input!$RR$6</f>
        <v>0</v>
      </c>
      <c r="J93" s="355">
        <f>Input!$RS$6</f>
        <v>0</v>
      </c>
      <c r="K93" s="355">
        <f>Input!$RT$6</f>
        <v>0</v>
      </c>
      <c r="L93" s="355">
        <f>Input!$RU$6</f>
        <v>-174313878</v>
      </c>
      <c r="M93" s="357">
        <f>D93+E93+F93+G93+H93+I93+J93+K93+L93</f>
        <v>-174313878</v>
      </c>
      <c r="O93" s="299"/>
    </row>
    <row r="94" spans="1:28">
      <c r="A94" s="147">
        <v>78</v>
      </c>
      <c r="B94" s="51" t="s">
        <v>94</v>
      </c>
      <c r="C94" s="51"/>
      <c r="D94" s="355">
        <f>Input!$RV$6</f>
        <v>0</v>
      </c>
      <c r="E94" s="355">
        <f>Input!$RW$6</f>
        <v>0</v>
      </c>
      <c r="F94" s="355">
        <f>Input!$RX$6</f>
        <v>0</v>
      </c>
      <c r="G94" s="355">
        <f>Input!$RY$6</f>
        <v>0</v>
      </c>
      <c r="H94" s="355">
        <f>Input!$RZ$6</f>
        <v>0</v>
      </c>
      <c r="I94" s="355">
        <f>Input!$SA$6</f>
        <v>0</v>
      </c>
      <c r="J94" s="355">
        <f>Input!$SB$6</f>
        <v>0</v>
      </c>
      <c r="K94" s="355">
        <f>Input!$SC$6</f>
        <v>0</v>
      </c>
      <c r="L94" s="355">
        <f>Input!$SD$6</f>
        <v>0</v>
      </c>
      <c r="M94" s="357">
        <f>D94+E94+F94+G94+H94+I94+J94+K94+L94</f>
        <v>0</v>
      </c>
      <c r="O94" s="348"/>
      <c r="P94" s="349"/>
    </row>
    <row r="95" spans="1:28">
      <c r="B95" s="51" t="s">
        <v>103</v>
      </c>
      <c r="C95" s="51"/>
      <c r="D95" s="355">
        <f>Input!$SE$6</f>
        <v>0</v>
      </c>
      <c r="E95" s="355">
        <f>Input!$SF$6</f>
        <v>0</v>
      </c>
      <c r="F95" s="355">
        <f>Input!$SG$6</f>
        <v>0</v>
      </c>
      <c r="G95" s="355">
        <f>Input!$SH$6</f>
        <v>0</v>
      </c>
      <c r="H95" s="355">
        <f>Input!$SI$6</f>
        <v>0</v>
      </c>
      <c r="I95" s="355">
        <f>Input!$SJ$6</f>
        <v>0</v>
      </c>
      <c r="J95" s="355">
        <f>Input!$SK$6</f>
        <v>0</v>
      </c>
      <c r="K95" s="355">
        <f>Input!$SL$6</f>
        <v>0</v>
      </c>
      <c r="L95" s="355">
        <f>Input!$SM$6</f>
        <v>0</v>
      </c>
      <c r="M95" s="357">
        <f>D95+E95+F95+G95+H95+I95+J95+K95+L95</f>
        <v>0</v>
      </c>
      <c r="O95" s="348"/>
    </row>
    <row r="96" spans="1:28">
      <c r="B96" s="51" t="s">
        <v>141</v>
      </c>
      <c r="C96" s="51"/>
      <c r="D96" s="355">
        <f>Input!$SN$6</f>
        <v>0</v>
      </c>
      <c r="E96" s="355">
        <f>Input!$SO$6</f>
        <v>0</v>
      </c>
      <c r="F96" s="355">
        <f>Input!$SP$6</f>
        <v>0</v>
      </c>
      <c r="G96" s="355">
        <f>Input!$SQ$6</f>
        <v>0</v>
      </c>
      <c r="H96" s="355">
        <f>Input!$SR$6</f>
        <v>0</v>
      </c>
      <c r="I96" s="355">
        <f>Input!$SS$6</f>
        <v>0</v>
      </c>
      <c r="J96" s="355">
        <f>Input!$ST$6</f>
        <v>0</v>
      </c>
      <c r="K96" s="355">
        <f>Input!$SU$6</f>
        <v>0</v>
      </c>
      <c r="L96" s="355">
        <f>Input!$SV$6</f>
        <v>28200</v>
      </c>
      <c r="M96" s="357">
        <f>D96+E96+F96+G96+H96+I96+J96+K96+L96</f>
        <v>28200</v>
      </c>
      <c r="O96" s="348"/>
      <c r="T96" s="157"/>
      <c r="U96" s="157"/>
      <c r="V96" s="157"/>
      <c r="W96" s="157"/>
      <c r="X96" s="157"/>
    </row>
    <row r="97" spans="1:28">
      <c r="A97" s="147">
        <v>79</v>
      </c>
      <c r="B97" s="51" t="s">
        <v>70</v>
      </c>
      <c r="C97" s="51"/>
      <c r="D97" s="355">
        <f>Input!$SW$6</f>
        <v>0</v>
      </c>
      <c r="E97" s="355">
        <f>Input!$SX$6</f>
        <v>0</v>
      </c>
      <c r="F97" s="355">
        <f>Input!$SY$6</f>
        <v>0</v>
      </c>
      <c r="G97" s="355">
        <f>Input!$SZ$6</f>
        <v>0</v>
      </c>
      <c r="H97" s="355">
        <f>Input!$TA$6</f>
        <v>0</v>
      </c>
      <c r="I97" s="355">
        <f>Input!$TB$6</f>
        <v>0</v>
      </c>
      <c r="J97" s="355">
        <f>Input!$TC$6</f>
        <v>0</v>
      </c>
      <c r="K97" s="355">
        <f>Input!$TD$6</f>
        <v>0</v>
      </c>
      <c r="L97" s="355">
        <f>Input!$TE$6</f>
        <v>269690378</v>
      </c>
      <c r="M97" s="357">
        <f>D97+E97+F97+G97+H97+I97+J97+K97+L97</f>
        <v>269690378</v>
      </c>
      <c r="O97" s="348"/>
    </row>
    <row r="98" spans="1:28" ht="13.5" thickBot="1">
      <c r="B98" s="167" t="s">
        <v>64</v>
      </c>
      <c r="C98" s="167"/>
      <c r="D98" s="360">
        <f t="shared" ref="D98:L98" si="21">SUM(D91:D97)</f>
        <v>-1766196</v>
      </c>
      <c r="E98" s="360">
        <f t="shared" si="21"/>
        <v>160444945</v>
      </c>
      <c r="F98" s="360">
        <f t="shared" si="21"/>
        <v>4035666</v>
      </c>
      <c r="G98" s="360">
        <f t="shared" si="21"/>
        <v>23789816</v>
      </c>
      <c r="H98" s="360">
        <f t="shared" si="21"/>
        <v>-5808648</v>
      </c>
      <c r="I98" s="360">
        <f t="shared" si="21"/>
        <v>83668860</v>
      </c>
      <c r="J98" s="360">
        <f t="shared" si="21"/>
        <v>-123454399</v>
      </c>
      <c r="K98" s="360">
        <f t="shared" si="21"/>
        <v>0</v>
      </c>
      <c r="L98" s="360">
        <f t="shared" si="21"/>
        <v>91940324</v>
      </c>
      <c r="M98" s="360">
        <f>SUM(M91:M97)</f>
        <v>232850368</v>
      </c>
      <c r="R98" s="440">
        <f>M98-INT(M98)</f>
        <v>0</v>
      </c>
      <c r="U98" s="638"/>
    </row>
    <row r="99" spans="1:28" ht="13.5" thickTop="1">
      <c r="A99" s="147">
        <v>80</v>
      </c>
      <c r="D99" s="168"/>
      <c r="E99" s="168"/>
      <c r="F99" s="168"/>
      <c r="G99" s="168"/>
      <c r="H99" s="168"/>
      <c r="I99" s="168"/>
      <c r="J99" s="168"/>
      <c r="K99" s="168"/>
      <c r="L99" s="168"/>
      <c r="M99" s="168"/>
      <c r="O99" s="295"/>
      <c r="P99" s="350"/>
    </row>
    <row r="100" spans="1:28">
      <c r="A100" s="147">
        <v>81</v>
      </c>
      <c r="B100" s="392" t="s">
        <v>1296</v>
      </c>
      <c r="C100" s="169"/>
      <c r="I100" s="156"/>
      <c r="O100" s="299"/>
      <c r="P100" s="1330" t="s">
        <v>1284</v>
      </c>
      <c r="Q100" s="1331"/>
      <c r="R100" s="1331"/>
      <c r="S100" s="1331"/>
      <c r="T100" s="1331"/>
      <c r="U100" s="1331"/>
      <c r="V100" s="1332"/>
    </row>
    <row r="101" spans="1:28">
      <c r="A101" s="147">
        <v>82</v>
      </c>
      <c r="B101" s="169" t="s">
        <v>85</v>
      </c>
      <c r="O101" s="299"/>
      <c r="P101" s="474" t="s">
        <v>603</v>
      </c>
      <c r="Q101" s="417"/>
      <c r="R101" s="474" t="s">
        <v>604</v>
      </c>
      <c r="S101" s="417"/>
      <c r="T101" s="475"/>
      <c r="U101" s="474" t="s">
        <v>605</v>
      </c>
      <c r="V101" s="417"/>
    </row>
    <row r="102" spans="1:28">
      <c r="A102" s="147">
        <v>83</v>
      </c>
      <c r="B102" s="51" t="s">
        <v>1247</v>
      </c>
      <c r="P102" s="476"/>
      <c r="Q102" s="477"/>
      <c r="R102" s="476"/>
      <c r="S102" s="421"/>
      <c r="T102" s="305"/>
      <c r="U102" s="478"/>
      <c r="V102" s="421"/>
    </row>
    <row r="103" spans="1:28">
      <c r="A103" s="147">
        <v>84</v>
      </c>
      <c r="P103" s="1333" t="str">
        <f>Input!$VC$6</f>
        <v>John Schmidt</v>
      </c>
      <c r="Q103" s="1334"/>
      <c r="R103" s="1333" t="str">
        <f>Input!$VD$6</f>
        <v>214-648-0888</v>
      </c>
      <c r="S103" s="1334"/>
      <c r="T103" s="305"/>
      <c r="U103" s="1335" t="str">
        <f>HYPERLINK("Mailto:"&amp;Input!$VE$6,Input!$VE$6)</f>
        <v>John.Schmidt@UTSouthwestern.edu</v>
      </c>
      <c r="V103" s="1334" t="e">
        <f>Input!#REF!</f>
        <v>#REF!</v>
      </c>
    </row>
    <row r="104" spans="1:28">
      <c r="M104" s="170" t="s">
        <v>92</v>
      </c>
      <c r="O104" s="351"/>
      <c r="P104" s="478"/>
      <c r="Q104" s="479"/>
      <c r="R104" s="305"/>
      <c r="S104" s="305"/>
      <c r="T104" s="305"/>
      <c r="U104" s="479"/>
      <c r="V104" s="480"/>
      <c r="W104" s="352"/>
    </row>
    <row r="105" spans="1:28">
      <c r="B105" s="51" t="s">
        <v>1248</v>
      </c>
      <c r="D105" s="171"/>
      <c r="E105" s="171"/>
      <c r="F105" s="171"/>
      <c r="G105" s="171"/>
      <c r="H105" s="171"/>
      <c r="I105" s="171"/>
      <c r="J105" s="171"/>
      <c r="K105" s="171"/>
      <c r="L105" s="172"/>
      <c r="M105" s="355">
        <f>Input!$TF$6</f>
        <v>232850368</v>
      </c>
      <c r="O105" s="74"/>
      <c r="P105" s="1324" t="s">
        <v>606</v>
      </c>
      <c r="Q105" s="1325"/>
      <c r="R105" s="1325"/>
      <c r="S105" s="1325"/>
      <c r="T105" s="1325"/>
      <c r="U105" s="1325"/>
      <c r="V105" s="1326"/>
      <c r="W105" s="352"/>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IF($L$123&lt;&gt;Input!$F$6,"Out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c r="B108" s="171"/>
      <c r="C108" s="171"/>
      <c r="O108" s="354"/>
    </row>
    <row r="110" spans="1:28" s="50" customFormat="1">
      <c r="A110" s="293"/>
      <c r="B110" s="51"/>
      <c r="C110" s="51"/>
      <c r="D110" s="357">
        <f>SUM($D$10:$D$14)+SUM($D$19:$D$28)+SUM($D$50)+$D$53+SUM($D$56:$D$61)+SUM($D$65:$D$76)+SUM($D$80:$D$83)+SUM($D$87:$D$88)+SUM($D$93:$D$97)+SUM($D$32:$D$41)+$D$47</f>
        <v>362397195</v>
      </c>
      <c r="E110" s="357">
        <f>SUM($E$10:$E$14)+SUM($E$19:$E$28)+SUM($E$50)+$E$53+SUM($E$56:$E$61)+SUM($E$65:$E$76)+SUM($E$80:$E$83)+SUM($E$87:$E$88)+SUM($E$93:$E$97)+SUM($E$32:$E$41)+$E$47</f>
        <v>4598112057</v>
      </c>
      <c r="F110" s="357">
        <f>SUM($F$10:$F$14)+SUM($F$19:$F$28)+SUM($F$50)+$F$53+SUM($F$56:$F$61)+SUM($F$65:$F$76)+SUM($F$80:$F$83)+SUM($F$87:$F$88)+SUM($F$93:$F$97)+SUM($F$32:$F$41)+$F$47</f>
        <v>52141264</v>
      </c>
      <c r="G110" s="357">
        <f>SUM($G$10:$G$14)+SUM($G$19:$G$28)+SUM($G$50)+$G$53+SUM($G$56:$G$61)+SUM($G$65:$G$76)+SUM($G$80:$G$83)+SUM($G$87:$G$88)+SUM($G$93:$G$97)+SUM($G$32:$G$41)+$G$47</f>
        <v>675505474</v>
      </c>
      <c r="H110" s="357">
        <f>SUM($H$10:$H$14)+SUM($H$19:$H$28)+SUM($H$50)+$H$53+SUM($H$56:$H$61)+SUM($H$65:$H$76)+SUM($H$80:$H$83)+SUM($H$87:$H$88)+SUM($H$93:$H$97)+SUM($H$32:$H$41)+$H$47</f>
        <v>3498930</v>
      </c>
      <c r="I110" s="357">
        <f>SUM($I$10:$I$14)+SUM($I$19:$I$28)+SUM($I$50)+$I$53+SUM($I$56:$I$61)+SUM($I$65:$I$76)+SUM($I$80:$I$83)+SUM($I$87:$I$88)+SUM($I$93:$I$97)+SUM($I$32:$I$41)+$I$47</f>
        <v>83668860</v>
      </c>
      <c r="J110" s="357">
        <f>SUM($J$10:$J$14)+SUM($J$19:$J$28)+SUM($J$50)+$J$53+SUM($J$56:$J$61)+SUM($J$65:$J$76)+SUM($J$80:$J$83)+SUM($J$87:$J$88)+SUM($J$93:$J$97)+SUM($J$32:$J$41)+$J$47</f>
        <v>-60644877</v>
      </c>
      <c r="K110" s="357">
        <f>SUM($K$10:$K$14)+SUM($K$19:$K$28)+SUM($K$50)+$K$53+SUM($K$56:$K$61)+SUM($K$65:$K$76)+SUM($K$80:$K$83)+SUM($K$87:$K$88)+SUM($K$93:$K$97)+SUM($K$32:$K$41)+$K$47</f>
        <v>0</v>
      </c>
      <c r="L110" s="357">
        <f>SUM($L$10:$L$14)+SUM($L$19:$L$28)+SUM($L$50)+$L$53+SUM($L$56:$L$61)+SUM($L$65:$L$76)+SUM($L$80:$L$83)+SUM($L$87:$L$88)+SUM($L$93:$L$97)+SUM($L$32:$L$41)+$L$47</f>
        <v>91940324</v>
      </c>
      <c r="M110" s="51"/>
      <c r="O110" s="51"/>
    </row>
    <row r="111" spans="1:28" s="50" customFormat="1">
      <c r="A111" s="293"/>
      <c r="B111" s="51"/>
      <c r="C111" s="51"/>
      <c r="D111" s="51"/>
      <c r="E111" s="51"/>
      <c r="F111" s="51"/>
      <c r="G111" s="51"/>
      <c r="H111" s="51"/>
      <c r="I111" s="51"/>
      <c r="J111" s="51"/>
      <c r="K111" s="51"/>
      <c r="L111" s="357">
        <f>SUM($D$110:$L$110)</f>
        <v>5806619227</v>
      </c>
      <c r="M111" s="51"/>
      <c r="O111" s="51"/>
    </row>
    <row r="112" spans="1:28" s="50" customFormat="1">
      <c r="A112" s="293"/>
      <c r="B112" s="51"/>
      <c r="C112" s="51"/>
      <c r="D112" s="51"/>
      <c r="E112" s="51"/>
      <c r="F112" s="51"/>
      <c r="G112" s="51"/>
      <c r="H112" s="51"/>
      <c r="I112" s="51"/>
      <c r="J112" s="51" t="s">
        <v>1249</v>
      </c>
      <c r="K112" s="51"/>
      <c r="L112" s="357">
        <f>$M$105</f>
        <v>232850368</v>
      </c>
      <c r="M112" s="51"/>
      <c r="O112" s="51"/>
    </row>
    <row r="113" spans="1:28" s="50" customFormat="1">
      <c r="A113" s="293"/>
      <c r="B113" s="51"/>
      <c r="C113" s="51"/>
      <c r="D113" s="51"/>
      <c r="E113" s="51"/>
      <c r="F113" s="51"/>
      <c r="G113" s="51"/>
      <c r="H113" s="51"/>
      <c r="I113" s="51"/>
      <c r="J113" s="51" t="s">
        <v>1250</v>
      </c>
      <c r="K113" s="51"/>
      <c r="L113" s="143">
        <f>$Q$32</f>
        <v>27910817</v>
      </c>
      <c r="M113" s="51"/>
      <c r="O113" s="51"/>
    </row>
    <row r="114" spans="1:28" s="50" customFormat="1">
      <c r="A114" s="293"/>
      <c r="B114" s="51"/>
      <c r="C114" s="51"/>
      <c r="D114" s="51"/>
      <c r="E114" s="51"/>
      <c r="F114" s="51"/>
      <c r="G114" s="51"/>
      <c r="H114" s="51"/>
      <c r="I114" s="51"/>
      <c r="J114" s="51" t="s">
        <v>1250</v>
      </c>
      <c r="K114" s="51"/>
      <c r="L114" s="143">
        <f>$R$34</f>
        <v>-883288</v>
      </c>
      <c r="M114" s="51"/>
      <c r="O114" s="51"/>
    </row>
    <row r="115" spans="1:28" s="50" customFormat="1">
      <c r="A115" s="293"/>
      <c r="B115" s="51"/>
      <c r="C115" s="51"/>
      <c r="D115" s="51"/>
      <c r="E115" s="51"/>
      <c r="F115" s="51"/>
      <c r="G115" s="51"/>
      <c r="H115" s="51"/>
      <c r="I115" s="51"/>
      <c r="J115" s="51" t="s">
        <v>27</v>
      </c>
      <c r="K115" s="51"/>
      <c r="L115" s="143">
        <f>SUM($P$65:$P$74)</f>
        <v>14443657</v>
      </c>
      <c r="M115" s="51"/>
      <c r="O115" s="51"/>
    </row>
    <row r="116" spans="1:28" s="50" customFormat="1">
      <c r="A116" s="293"/>
      <c r="B116" s="51"/>
      <c r="C116" s="51"/>
      <c r="D116" s="51"/>
      <c r="E116" s="51"/>
      <c r="F116" s="51"/>
      <c r="G116" s="51"/>
      <c r="H116" s="51"/>
      <c r="I116" s="51"/>
      <c r="J116" s="51" t="s">
        <v>1009</v>
      </c>
      <c r="K116" s="51"/>
      <c r="L116" s="143">
        <f>$S$76+$S$77</f>
        <v>5147090005</v>
      </c>
      <c r="M116" s="51"/>
      <c r="O116" s="51"/>
    </row>
    <row r="117" spans="1:28" s="50" customFormat="1">
      <c r="A117" s="293"/>
      <c r="B117" s="51"/>
      <c r="C117" s="51"/>
      <c r="D117" s="51"/>
      <c r="E117" s="51"/>
      <c r="F117" s="51"/>
      <c r="G117" s="51"/>
      <c r="H117" s="51"/>
      <c r="I117" s="51"/>
      <c r="J117" s="51" t="s">
        <v>607</v>
      </c>
      <c r="K117" s="51"/>
      <c r="L117" s="143">
        <f>SUM($Q$65:$Q$73)</f>
        <v>2483499</v>
      </c>
      <c r="M117" s="51"/>
      <c r="O117" s="51"/>
    </row>
    <row r="118" spans="1:28" s="50" customFormat="1">
      <c r="A118" s="293"/>
      <c r="B118" s="51"/>
      <c r="C118" s="51"/>
      <c r="D118" s="51"/>
      <c r="E118" s="51"/>
      <c r="F118" s="51"/>
      <c r="G118" s="51"/>
      <c r="H118" s="51"/>
      <c r="I118" s="51"/>
      <c r="J118" s="51" t="s">
        <v>608</v>
      </c>
      <c r="K118" s="51"/>
      <c r="L118" s="143">
        <f>SUM($R$65:$R$73)</f>
        <v>693105</v>
      </c>
      <c r="M118" s="51"/>
      <c r="O118" s="51"/>
    </row>
    <row r="119" spans="1:28" s="50" customFormat="1">
      <c r="A119" s="293"/>
      <c r="B119" s="51"/>
      <c r="C119" s="51"/>
      <c r="D119" s="51"/>
      <c r="E119" s="51"/>
      <c r="F119" s="51"/>
      <c r="G119" s="51"/>
      <c r="H119" s="51"/>
      <c r="I119" s="51"/>
      <c r="J119" s="51" t="s">
        <v>182</v>
      </c>
      <c r="K119" s="51"/>
      <c r="L119" s="143">
        <f>SUM($X$65:$X$74)</f>
        <v>2767909367</v>
      </c>
      <c r="M119" s="51"/>
      <c r="O119" s="51"/>
    </row>
    <row r="120" spans="1:28" s="50" customFormat="1">
      <c r="A120" s="293"/>
      <c r="B120" s="51"/>
      <c r="C120" s="51"/>
      <c r="D120" s="51"/>
      <c r="E120" s="51"/>
      <c r="F120" s="51"/>
      <c r="G120" s="51"/>
      <c r="H120" s="51"/>
      <c r="I120" s="51"/>
      <c r="J120" s="51" t="s">
        <v>609</v>
      </c>
      <c r="K120" s="51"/>
      <c r="L120" s="143">
        <f>$S$84</f>
        <v>77370136</v>
      </c>
      <c r="M120" s="51"/>
      <c r="O120" s="51"/>
    </row>
    <row r="121" spans="1:28" s="50" customFormat="1">
      <c r="A121" s="293"/>
      <c r="B121" s="51"/>
      <c r="C121" s="51"/>
      <c r="D121" s="51"/>
      <c r="E121" s="51"/>
      <c r="F121" s="51"/>
      <c r="G121" s="51"/>
      <c r="H121" s="51"/>
      <c r="I121" s="51"/>
      <c r="J121" s="51" t="s">
        <v>609</v>
      </c>
      <c r="K121" s="51"/>
      <c r="L121" s="143">
        <f>$S$87</f>
        <v>39942270</v>
      </c>
      <c r="M121" s="51"/>
      <c r="O121" s="51"/>
    </row>
    <row r="122" spans="1:28" s="50" customFormat="1">
      <c r="A122" s="293"/>
      <c r="B122" s="51"/>
      <c r="C122" s="51"/>
      <c r="D122" s="51"/>
      <c r="E122" s="51"/>
      <c r="F122" s="51"/>
      <c r="G122" s="51"/>
      <c r="H122" s="51"/>
      <c r="I122" s="51"/>
      <c r="J122" s="51" t="s">
        <v>1255</v>
      </c>
      <c r="K122" s="51"/>
      <c r="L122" s="935">
        <f>VLOOKUP(B2,Names!$B$10:$C$88,2,FALSE)</f>
        <v>30</v>
      </c>
      <c r="M122" s="51"/>
      <c r="O122" s="51"/>
    </row>
    <row r="123" spans="1:28">
      <c r="L123" s="486">
        <f>SUM($L$111:$L$122)</f>
        <v>14116429193</v>
      </c>
    </row>
    <row r="125" spans="1:28" s="2" customFormat="1">
      <c r="A125" s="4"/>
      <c r="D125" s="292"/>
      <c r="E125" s="292"/>
      <c r="F125" s="292"/>
      <c r="G125" s="630"/>
      <c r="H125" s="292"/>
      <c r="I125" s="292"/>
      <c r="J125" s="719"/>
      <c r="K125" s="292"/>
      <c r="L125" s="292"/>
      <c r="M125" s="661"/>
      <c r="O125" s="51"/>
      <c r="P125" s="51"/>
      <c r="Q125" s="51"/>
      <c r="R125" s="51"/>
      <c r="S125" s="51"/>
      <c r="T125" s="51"/>
      <c r="U125" s="51"/>
      <c r="V125" s="51"/>
      <c r="W125" s="51"/>
      <c r="X125" s="51"/>
      <c r="Y125" s="51"/>
      <c r="Z125" s="51"/>
      <c r="AA125" s="51"/>
      <c r="AB125" s="51"/>
    </row>
    <row r="126" spans="1:28">
      <c r="D126" s="488"/>
      <c r="E126" s="488"/>
      <c r="F126" s="488"/>
      <c r="G126" s="488"/>
      <c r="H126" s="488"/>
      <c r="I126" s="488"/>
      <c r="J126" s="488"/>
      <c r="K126" s="488"/>
      <c r="L126" s="488"/>
      <c r="M126" s="488"/>
    </row>
  </sheetData>
  <mergeCells count="27">
    <mergeCell ref="Q76:R76"/>
    <mergeCell ref="P105:V106"/>
    <mergeCell ref="P82:S82"/>
    <mergeCell ref="P100:V100"/>
    <mergeCell ref="P103:Q103"/>
    <mergeCell ref="R103:S103"/>
    <mergeCell ref="U103:V103"/>
    <mergeCell ref="B2:G2"/>
    <mergeCell ref="O61:O64"/>
    <mergeCell ref="P61:P64"/>
    <mergeCell ref="Q61:Q64"/>
    <mergeCell ref="R61:R64"/>
    <mergeCell ref="P10:P11"/>
    <mergeCell ref="B3:F3"/>
    <mergeCell ref="B4:F4"/>
    <mergeCell ref="O19:S19"/>
    <mergeCell ref="B6:M6"/>
    <mergeCell ref="P4:Q4"/>
    <mergeCell ref="O60:S60"/>
    <mergeCell ref="G64:K64"/>
    <mergeCell ref="S61:S64"/>
    <mergeCell ref="U61:U64"/>
    <mergeCell ref="W60:Y60"/>
    <mergeCell ref="X61:X64"/>
    <mergeCell ref="Y61:Y64"/>
    <mergeCell ref="U19:Y19"/>
    <mergeCell ref="W61:W64"/>
  </mergeCells>
  <phoneticPr fontId="0" type="noConversion"/>
  <conditionalFormatting sqref="D99:M99 D98:L98">
    <cfRule type="cellIs" dxfId="535" priority="41" stopIfTrue="1" operator="notEqual">
      <formula>#REF!</formula>
    </cfRule>
  </conditionalFormatting>
  <conditionalFormatting sqref="M77">
    <cfRule type="cellIs" dxfId="534" priority="42" stopIfTrue="1" operator="notEqual">
      <formula>SUM($M$65:$M$76)</formula>
    </cfRule>
  </conditionalFormatting>
  <conditionalFormatting sqref="M89">
    <cfRule type="cellIs" dxfId="533" priority="43" stopIfTrue="1" operator="notEqual">
      <formula>SUM($M$87:$M$88)</formula>
    </cfRule>
  </conditionalFormatting>
  <conditionalFormatting sqref="M84">
    <cfRule type="cellIs" dxfId="532" priority="44" stopIfTrue="1" operator="notEqual">
      <formula>SUM($M$80:$M$83)</formula>
    </cfRule>
  </conditionalFormatting>
  <conditionalFormatting sqref="M62">
    <cfRule type="cellIs" dxfId="531" priority="48" stopIfTrue="1" operator="notEqual">
      <formula>SUM($M$56:$M$61)</formula>
    </cfRule>
  </conditionalFormatting>
  <conditionalFormatting sqref="M15">
    <cfRule type="cellIs" dxfId="530" priority="49" stopIfTrue="1" operator="notEqual">
      <formula>SUM($M$10:$M$14)</formula>
    </cfRule>
  </conditionalFormatting>
  <conditionalFormatting sqref="D98:L98">
    <cfRule type="cellIs" dxfId="529" priority="35" stopIfTrue="1" operator="notEqual">
      <formula>#REF!</formula>
    </cfRule>
  </conditionalFormatting>
  <conditionalFormatting sqref="G64:K64">
    <cfRule type="expression" dxfId="528" priority="21">
      <formula>$R$98&lt;&gt;0</formula>
    </cfRule>
  </conditionalFormatting>
  <conditionalFormatting sqref="O11:P11">
    <cfRule type="expression" dxfId="527" priority="20">
      <formula>#REF!&lt;&gt;$N$11</formula>
    </cfRule>
  </conditionalFormatting>
  <conditionalFormatting sqref="O13">
    <cfRule type="expression" dxfId="526" priority="19">
      <formula>$Q$13&lt;&gt;$N$13</formula>
    </cfRule>
  </conditionalFormatting>
  <conditionalFormatting sqref="O12">
    <cfRule type="expression" dxfId="525" priority="18">
      <formula>$Q$12&lt;&gt;$N$12</formula>
    </cfRule>
  </conditionalFormatting>
  <conditionalFormatting sqref="S91">
    <cfRule type="expression" priority="16" stopIfTrue="1">
      <formula>$N$91&lt;0</formula>
    </cfRule>
    <cfRule type="expression" dxfId="524" priority="17">
      <formula>$T$91&lt;&gt;0</formula>
    </cfRule>
  </conditionalFormatting>
  <conditionalFormatting sqref="S84 S87">
    <cfRule type="expression" dxfId="523" priority="14" stopIfTrue="1">
      <formula>$M$91&gt;=0</formula>
    </cfRule>
    <cfRule type="expression" priority="15">
      <formula>$M$91&lt;0</formula>
    </cfRule>
  </conditionalFormatting>
  <conditionalFormatting sqref="U100:V100 R102 U101 P100:P101 Q100:R100 S100:T102 S105:U106">
    <cfRule type="cellIs" dxfId="522" priority="13" stopIfTrue="1" operator="notEqual">
      <formula>#REF!</formula>
    </cfRule>
  </conditionalFormatting>
  <conditionalFormatting sqref="P76">
    <cfRule type="expression" dxfId="521" priority="11">
      <formula>$P$75&lt;&gt;$M$75</formula>
    </cfRule>
  </conditionalFormatting>
  <conditionalFormatting sqref="Y78">
    <cfRule type="expression" dxfId="520" priority="10">
      <formula>$Y$77&lt;&gt;0</formula>
    </cfRule>
  </conditionalFormatting>
  <conditionalFormatting sqref="Q36:R36">
    <cfRule type="expression" dxfId="519" priority="5">
      <formula>#REF!&lt;&gt;#REF!</formula>
    </cfRule>
  </conditionalFormatting>
  <conditionalFormatting sqref="R35">
    <cfRule type="expression" dxfId="518" priority="4">
      <formula>#REF!&lt;&gt;0</formula>
    </cfRule>
  </conditionalFormatting>
  <conditionalFormatting sqref="Q35">
    <cfRule type="expression" dxfId="517" priority="3">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4"/>
  <sheetViews>
    <sheetView showGridLines="0" zoomScale="90" zoomScaleNormal="90" workbookViewId="0">
      <selection activeCell="D1" sqref="D1"/>
    </sheetView>
  </sheetViews>
  <sheetFormatPr defaultRowHeight="12.75"/>
  <cols>
    <col min="1" max="1" width="7" customWidth="1"/>
    <col min="2" max="2" width="93.42578125" customWidth="1"/>
    <col min="10" max="10" width="11.85546875" customWidth="1"/>
  </cols>
  <sheetData>
    <row r="1" spans="1:7">
      <c r="B1" s="386" t="str">
        <f>'SWM Chts'!$A$1</f>
        <v>The University of Texas Southwestern Medical Center</v>
      </c>
      <c r="D1" s="737" t="s">
        <v>1123</v>
      </c>
    </row>
    <row r="2" spans="1:7">
      <c r="B2" s="386" t="str">
        <f>'Smmy Chts'!$A$2</f>
        <v>For the Year Ended August 31, 2018</v>
      </c>
    </row>
    <row r="3" spans="1:7">
      <c r="B3" s="386" t="str">
        <f>'SWM Chts'!$A$3</f>
        <v>Source: FY 2018 Annual Financial Report</v>
      </c>
    </row>
    <row r="5" spans="1:7">
      <c r="B5" s="507" t="s">
        <v>624</v>
      </c>
    </row>
    <row r="6" spans="1:7">
      <c r="B6" s="508"/>
    </row>
    <row r="7" spans="1:7" ht="226.5" customHeight="1">
      <c r="B7" s="509" t="s">
        <v>625</v>
      </c>
      <c r="C7" s="510"/>
    </row>
    <row r="8" spans="1:7" ht="263.25" customHeight="1">
      <c r="B8" s="509" t="s">
        <v>626</v>
      </c>
    </row>
    <row r="9" spans="1:7" s="53" customFormat="1" ht="64.5" customHeight="1">
      <c r="B9" s="511" t="str">
        <f>IF('SWM FGD'!$S$83="N/A","FN11.  N/A",$B$14&amp;$B$15&amp;$B$16&amp;$B$17&amp;$B$18&amp;$B$19&amp;$B$20&amp;$B$21&amp;$B$22&amp;$B$23&amp;$B$24)</f>
        <v>FN11: Of the net increase of $137,445,668 approximately $77.4 million represents revenues received but not year expended. This income is fully committed to program expenditures and capital disbursements. The remaining $60.1 million represents non-expendable funds from unrealized gains and additions to permanent endowments of approximately $39.9 million and $20.1 million respectively. Unrealized gains and additions to permanent endowments do not contribute to the availability of the institution's operating cash as discussed in FN6 and FN7.</v>
      </c>
      <c r="E9" s="488"/>
      <c r="F9" s="54"/>
    </row>
    <row r="14" spans="1:7" s="53" customFormat="1">
      <c r="B14" s="54" t="s">
        <v>610</v>
      </c>
      <c r="G14" s="54"/>
    </row>
    <row r="15" spans="1:7" s="53" customFormat="1">
      <c r="A15" s="53">
        <v>75</v>
      </c>
      <c r="B15" s="488" t="str">
        <f>TEXT(IF('SWM FGD'!$M$91&lt;0,"N/A",'SWM FGD'!$M$91),"$* #,##0;$* (#,##0)")</f>
        <v>$137,445,668</v>
      </c>
      <c r="C15" s="453"/>
      <c r="F15" s="453"/>
      <c r="G15" s="54"/>
    </row>
    <row r="16" spans="1:7" s="53" customFormat="1">
      <c r="B16" s="54" t="s">
        <v>611</v>
      </c>
    </row>
    <row r="17" spans="1:6" s="53" customFormat="1">
      <c r="A17" s="53">
        <v>68</v>
      </c>
      <c r="B17" s="489" t="str">
        <f>IF(ABS('SWM FGD'!$S$84)&gt;=1000000,TEXT('SWM FGD'!$S$84/1000000,"$* #,##0.0;$* (#,##0.0)")&amp;" million",IF(ABS('SWM FGD'!$S$84)&lt;1000,TEXT('SWM FGD'!$S$84,"$* #,##0;$* (#,##0)"),TEXT('SWM FGD'!$S$84/1000,"$* #,##0;$* (#,##0)")&amp;" thousand"))</f>
        <v>$77.4 million</v>
      </c>
      <c r="C17" s="489"/>
      <c r="F17" s="489"/>
    </row>
    <row r="18" spans="1:6" s="53" customFormat="1">
      <c r="B18" s="54" t="s">
        <v>627</v>
      </c>
    </row>
    <row r="19" spans="1:6" s="53" customFormat="1">
      <c r="A19" s="53">
        <v>69</v>
      </c>
      <c r="B19" s="53" t="str">
        <f>IF(ABS('SWM FGD'!$S$85)&gt;=1000000,TEXT('SWM FGD'!$S$85/1000000,"$* #,##0.0;$* (#,##0.0)")&amp;" million",IF(ABS('SWM FGD'!$S$85)&lt;1000,TEXT('SWM FGD'!$S$85,"$* #,##0;$* (#,##0)"),TEXT('SWM FGD'!$S$85/1000,"$* #,##0;$* (#,##0)")&amp;" thousand"))</f>
        <v>$60.1 million</v>
      </c>
    </row>
    <row r="20" spans="1:6" s="53" customFormat="1">
      <c r="B20" s="54" t="s">
        <v>612</v>
      </c>
    </row>
    <row r="21" spans="1:6" s="53" customFormat="1">
      <c r="A21" s="53">
        <v>71</v>
      </c>
      <c r="B21" s="53" t="str">
        <f>IF(ABS('SWM FGD'!$S$87)&gt;=1000000,TEXT('SWM FGD'!$S$87/1000000,"$* #,##0.0;$* (#,##0.0)")&amp;" million",IF(ABS('SWM FGD'!$S$87)&lt;1000,TEXT('SWM FGD'!$S$87,"$* #,##0;$* (#,##0)"),TEXT('SWM FGD'!$S$87/1000,"$* #,##0;$* (#,##0)")&amp;" thousand"))</f>
        <v>$39.9 million</v>
      </c>
    </row>
    <row r="22" spans="1:6" s="53" customFormat="1">
      <c r="B22" s="54" t="s">
        <v>613</v>
      </c>
    </row>
    <row r="23" spans="1:6" s="53" customFormat="1">
      <c r="A23" s="53">
        <v>73</v>
      </c>
      <c r="B23" s="53" t="str">
        <f>IF(ABS('SWM FGD'!$S$89)&gt;=1000000,TEXT('SWM FGD'!$S$89/1000000,"$* #,##0.0;$* (#,##0.0)")&amp;" million",IF(ABS('SWM FGD'!$S$89)&lt;1000,TEXT('SWM FGD'!$S$89,"$* #,##0;$* (#,##0)"),TEXT('SWM FGD'!$S$89/1000,"$* #,##0;$* (#,##0)")&amp;" thousand"))</f>
        <v>$20.1 million</v>
      </c>
    </row>
    <row r="24" spans="1:6" s="53" customFormat="1">
      <c r="B24" s="54" t="s">
        <v>1188</v>
      </c>
    </row>
  </sheetData>
  <phoneticPr fontId="21" type="noConversion"/>
  <hyperlinks>
    <hyperlink ref="D1" location="Index!A1" display="Return to Index"/>
  </hyperlinks>
  <pageMargins left="0.25" right="0.25" top="0.5" bottom="0.25"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6.7109375" style="53" customWidth="1"/>
    <col min="3" max="3" width="55" style="53" customWidth="1"/>
    <col min="4" max="4" width="23.42578125" style="53" customWidth="1"/>
    <col min="5" max="16384" width="9.140625" style="53"/>
  </cols>
  <sheetData>
    <row r="1" spans="1:5" ht="27.75" customHeight="1">
      <c r="A1" s="52" t="s">
        <v>97</v>
      </c>
      <c r="C1" s="737" t="s">
        <v>1123</v>
      </c>
    </row>
    <row r="2" spans="1:5" ht="27.75" customHeight="1">
      <c r="A2" s="52" t="str">
        <f>'Smmy Chts'!$A$2</f>
        <v>For the Year Ended August 31, 2018</v>
      </c>
    </row>
    <row r="3" spans="1:5" ht="27.75"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5"/>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'MBG Sum'!A9</f>
        <v>State of Texas</v>
      </c>
      <c r="D11" s="61">
        <f>'MBG Sum'!B15</f>
        <v>380383100</v>
      </c>
      <c r="E11" s="673">
        <f>ROUND(D11/$D$17,3)</f>
        <v>0.17100000000000001</v>
      </c>
    </row>
    <row r="12" spans="1:5" ht="12.95" customHeight="1">
      <c r="B12" s="56"/>
      <c r="C12" s="60" t="str">
        <f>'MBG Sum'!A17</f>
        <v>Student &amp; Parent</v>
      </c>
      <c r="D12" s="61">
        <f>'MBG Sum'!B20</f>
        <v>41368962</v>
      </c>
      <c r="E12" s="673">
        <f t="shared" ref="E12:E15" si="0">ROUND(D12/$D$17,3)</f>
        <v>1.9E-2</v>
      </c>
    </row>
    <row r="13" spans="1:5" ht="12.95" customHeight="1">
      <c r="B13" s="56"/>
      <c r="C13" s="60" t="str">
        <f>'MBG Sum'!A22</f>
        <v>Federal Government</v>
      </c>
      <c r="D13" s="61">
        <f>'MBG Sum'!B23</f>
        <v>129743832</v>
      </c>
      <c r="E13" s="673">
        <f t="shared" si="0"/>
        <v>5.8000000000000003E-2</v>
      </c>
    </row>
    <row r="14" spans="1:5" ht="12.95" customHeight="1">
      <c r="B14" s="56"/>
      <c r="C14" s="60" t="str">
        <f>'MBG Sum'!A31</f>
        <v>Institutional Resources</v>
      </c>
      <c r="D14" s="61">
        <f>'MBG Sum'!B38</f>
        <v>277257457</v>
      </c>
      <c r="E14" s="673">
        <f t="shared" si="0"/>
        <v>0.125</v>
      </c>
    </row>
    <row r="15" spans="1:5" ht="12.95" customHeight="1">
      <c r="B15" s="56"/>
      <c r="C15" s="62" t="s">
        <v>58</v>
      </c>
      <c r="D15" s="61">
        <f>'MBG Sum'!B29+'MBG Sum'!B26</f>
        <v>1393981289</v>
      </c>
      <c r="E15" s="673">
        <f t="shared" si="0"/>
        <v>0.627</v>
      </c>
    </row>
    <row r="16" spans="1:5" ht="12.95" customHeight="1">
      <c r="B16" s="56"/>
      <c r="C16" s="58"/>
      <c r="D16" s="59"/>
    </row>
    <row r="17" spans="1:5" ht="12.95" customHeight="1">
      <c r="B17" s="56"/>
      <c r="C17" s="63" t="s">
        <v>71</v>
      </c>
      <c r="D17" s="64">
        <f>SUM(D11:D16)</f>
        <v>2222734640</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76" t="str">
        <f>C17&amp;" "&amp;TEXT(D17,"$#,###")</f>
        <v>Total Operating Sources $2,222,734,640</v>
      </c>
    </row>
    <row r="48" spans="1:1" ht="12.95" customHeight="1">
      <c r="A48" s="1276"/>
    </row>
    <row r="49" spans="1:5" ht="12.95" customHeight="1">
      <c r="A49" s="376"/>
    </row>
    <row r="50" spans="1:5" ht="12.95" customHeight="1">
      <c r="C50" s="65" t="s">
        <v>25</v>
      </c>
      <c r="D50" s="65"/>
    </row>
    <row r="51" spans="1:5" ht="12.95" customHeight="1">
      <c r="C51" s="58"/>
      <c r="D51" s="59"/>
    </row>
    <row r="52" spans="1:5" ht="12.95" customHeight="1">
      <c r="C52" s="55"/>
      <c r="D52" s="55"/>
    </row>
    <row r="53" spans="1:5" ht="12.95" customHeight="1">
      <c r="C53" s="60" t="s">
        <v>1</v>
      </c>
      <c r="D53" s="61">
        <f>'MBG Sum'!B10</f>
        <v>369420210</v>
      </c>
      <c r="E53" s="673">
        <f>ROUND(D53/$D$68,3)</f>
        <v>0.16600000000000001</v>
      </c>
    </row>
    <row r="54" spans="1:5" ht="12.95" customHeight="1">
      <c r="C54" s="60" t="s">
        <v>76</v>
      </c>
      <c r="D54" s="61">
        <f>'MBG Sum'!B11</f>
        <v>10962890</v>
      </c>
      <c r="E54" s="673">
        <f t="shared" ref="E54:E67" si="1">ROUND(D54/$D$68,3)</f>
        <v>5.0000000000000001E-3</v>
      </c>
    </row>
    <row r="55" spans="1:5" ht="12.95" customHeight="1">
      <c r="C55" s="907"/>
      <c r="D55" s="61"/>
      <c r="E55" s="673"/>
    </row>
    <row r="56" spans="1:5" ht="12.95" customHeight="1">
      <c r="C56" s="907" t="str">
        <f>'MBG Sum'!A13</f>
        <v>Higher Education Fund</v>
      </c>
      <c r="D56" s="61">
        <f>'MBG Sum'!B13</f>
        <v>0</v>
      </c>
      <c r="E56" s="673">
        <f t="shared" si="1"/>
        <v>0</v>
      </c>
    </row>
    <row r="57" spans="1:5" ht="12.95" customHeight="1">
      <c r="C57" s="907" t="s">
        <v>39</v>
      </c>
      <c r="D57" s="61">
        <f>'MBG Sum'!B14</f>
        <v>0</v>
      </c>
      <c r="E57" s="673">
        <f t="shared" si="1"/>
        <v>0</v>
      </c>
    </row>
    <row r="58" spans="1:5" ht="12.95" customHeight="1">
      <c r="C58" s="60" t="s">
        <v>77</v>
      </c>
      <c r="D58" s="61">
        <f>'MBG Sum'!B20</f>
        <v>41368962</v>
      </c>
      <c r="E58" s="673">
        <f t="shared" si="1"/>
        <v>1.9E-2</v>
      </c>
    </row>
    <row r="59" spans="1:5" ht="12.95" customHeight="1">
      <c r="C59" s="66" t="s">
        <v>78</v>
      </c>
      <c r="D59" s="61">
        <f>'MBG Sum'!B23</f>
        <v>129743832</v>
      </c>
      <c r="E59" s="673">
        <f t="shared" si="1"/>
        <v>5.8000000000000003E-2</v>
      </c>
    </row>
    <row r="60" spans="1:5" ht="12.95" customHeight="1">
      <c r="C60" s="60" t="s">
        <v>79</v>
      </c>
      <c r="D60" s="61">
        <f>'MBG Sum'!B32</f>
        <v>60349285</v>
      </c>
      <c r="E60" s="673">
        <f t="shared" si="1"/>
        <v>2.7E-2</v>
      </c>
    </row>
    <row r="61" spans="1:5" ht="12.95" customHeight="1">
      <c r="C61" s="60" t="s">
        <v>198</v>
      </c>
      <c r="D61" s="61">
        <f>'MBG Sum'!B33</f>
        <v>1046267</v>
      </c>
      <c r="E61" s="673">
        <f t="shared" si="1"/>
        <v>0</v>
      </c>
    </row>
    <row r="62" spans="1:5" ht="12.95" customHeight="1">
      <c r="C62" s="60" t="s">
        <v>80</v>
      </c>
      <c r="D62" s="61">
        <f>'MBG Sum'!B34</f>
        <v>133522299</v>
      </c>
      <c r="E62" s="673">
        <f t="shared" si="1"/>
        <v>0.06</v>
      </c>
    </row>
    <row r="63" spans="1:5" ht="12.95" customHeight="1">
      <c r="C63" s="60" t="s">
        <v>81</v>
      </c>
      <c r="D63" s="61">
        <f>'MBG Sum'!B35</f>
        <v>13451815</v>
      </c>
      <c r="E63" s="673">
        <f t="shared" si="1"/>
        <v>6.0000000000000001E-3</v>
      </c>
    </row>
    <row r="64" spans="1:5" ht="12.95" customHeight="1">
      <c r="C64" s="60" t="s">
        <v>12</v>
      </c>
      <c r="D64" s="61">
        <f>'MBG Sum'!B36</f>
        <v>12933001</v>
      </c>
      <c r="E64" s="673">
        <f t="shared" si="1"/>
        <v>6.0000000000000001E-3</v>
      </c>
    </row>
    <row r="65" spans="1:5" ht="12.95" customHeight="1">
      <c r="C65" s="66" t="s">
        <v>48</v>
      </c>
      <c r="D65" s="61">
        <f>'MBG Sum'!B37</f>
        <v>55954790</v>
      </c>
      <c r="E65" s="673">
        <f t="shared" si="1"/>
        <v>2.5000000000000001E-2</v>
      </c>
    </row>
    <row r="66" spans="1:5" ht="12.95" customHeight="1">
      <c r="C66" s="66" t="s">
        <v>57</v>
      </c>
      <c r="D66" s="61">
        <f>'MBG Sum'!B26</f>
        <v>199548093</v>
      </c>
      <c r="E66" s="673">
        <f t="shared" si="1"/>
        <v>0.09</v>
      </c>
    </row>
    <row r="67" spans="1:5" ht="12.95" customHeight="1">
      <c r="C67" s="62" t="s">
        <v>58</v>
      </c>
      <c r="D67" s="61">
        <f>'MBG Sum'!B29</f>
        <v>1194433196</v>
      </c>
      <c r="E67" s="673">
        <f t="shared" si="1"/>
        <v>0.53700000000000003</v>
      </c>
    </row>
    <row r="68" spans="1:5" ht="12.95" customHeight="1">
      <c r="C68" s="63" t="s">
        <v>71</v>
      </c>
      <c r="D68" s="64">
        <f>SUM(D53:D67)</f>
        <v>2222734640</v>
      </c>
      <c r="E68" s="674">
        <f>SUM(E53:E67)</f>
        <v>0.99900000000000011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76" t="str">
        <f>C68&amp;" "&amp;TEXT(D68,"$#,###")</f>
        <v>Total Operating Sources $2,222,734,640</v>
      </c>
    </row>
    <row r="93" spans="1:1" ht="12.95" customHeight="1">
      <c r="A93" s="1276"/>
    </row>
    <row r="94" spans="1:1" ht="12.95" customHeight="1">
      <c r="A94" s="37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909">
        <f>'MBG Sum'!B42</f>
        <v>337210597</v>
      </c>
      <c r="E102" s="673">
        <f>ROUND(D102/$D$115,3)</f>
        <v>0.17</v>
      </c>
    </row>
    <row r="103" spans="1:5" ht="12.95" customHeight="1">
      <c r="C103" s="68" t="s">
        <v>15</v>
      </c>
      <c r="D103" s="909">
        <f>'MBG Sum'!B43</f>
        <v>110635770</v>
      </c>
      <c r="E103" s="673">
        <f t="shared" ref="E103:E113" si="2">ROUND(D103/$D$115,3)</f>
        <v>5.6000000000000001E-2</v>
      </c>
    </row>
    <row r="104" spans="1:5" ht="12.95" customHeight="1">
      <c r="C104" s="68" t="s">
        <v>16</v>
      </c>
      <c r="D104" s="909">
        <f>'MBG Sum'!B44</f>
        <v>18195325</v>
      </c>
      <c r="E104" s="673">
        <f t="shared" si="2"/>
        <v>8.9999999999999993E-3</v>
      </c>
    </row>
    <row r="105" spans="1:5" ht="12.95" customHeight="1">
      <c r="C105" s="68" t="s">
        <v>17</v>
      </c>
      <c r="D105" s="909">
        <f>'MBG Sum'!B46</f>
        <v>35259763</v>
      </c>
      <c r="E105" s="673">
        <f t="shared" si="2"/>
        <v>1.7999999999999999E-2</v>
      </c>
    </row>
    <row r="106" spans="1:5" ht="12.95" customHeight="1">
      <c r="C106" s="68" t="s">
        <v>18</v>
      </c>
      <c r="D106" s="909">
        <f>'MBG Sum'!B47</f>
        <v>6718483</v>
      </c>
      <c r="E106" s="673">
        <f t="shared" si="2"/>
        <v>3.0000000000000001E-3</v>
      </c>
    </row>
    <row r="107" spans="1:5" ht="12.95" customHeight="1">
      <c r="C107" s="68" t="s">
        <v>19</v>
      </c>
      <c r="D107" s="909">
        <f>'MBG Sum'!B48</f>
        <v>87090538</v>
      </c>
      <c r="E107" s="673">
        <f t="shared" si="2"/>
        <v>4.3999999999999997E-2</v>
      </c>
    </row>
    <row r="108" spans="1:5" ht="12.95" customHeight="1">
      <c r="C108" s="68" t="s">
        <v>82</v>
      </c>
      <c r="D108" s="909">
        <f>'MBG Sum'!B49</f>
        <v>59056075</v>
      </c>
      <c r="E108" s="673">
        <f t="shared" si="2"/>
        <v>0.03</v>
      </c>
    </row>
    <row r="109" spans="1:5" ht="12.95" customHeight="1">
      <c r="C109" s="68" t="s">
        <v>83</v>
      </c>
      <c r="D109" s="909">
        <f>'MBG Sum'!B50</f>
        <v>8013307</v>
      </c>
      <c r="E109" s="673">
        <f t="shared" si="2"/>
        <v>4.0000000000000001E-3</v>
      </c>
    </row>
    <row r="110" spans="1:5" ht="12.95" customHeight="1">
      <c r="C110" s="68" t="s">
        <v>22</v>
      </c>
      <c r="D110" s="909">
        <f>'MBG Sum'!B51</f>
        <v>11935905</v>
      </c>
      <c r="E110" s="673">
        <f t="shared" si="2"/>
        <v>6.0000000000000001E-3</v>
      </c>
    </row>
    <row r="111" spans="1:5" ht="12.95" customHeight="1">
      <c r="C111" s="69" t="s">
        <v>27</v>
      </c>
      <c r="D111" s="909">
        <f>'MBG Sum'!B52</f>
        <v>18641466</v>
      </c>
      <c r="E111" s="673">
        <f t="shared" si="2"/>
        <v>8.9999999999999993E-3</v>
      </c>
    </row>
    <row r="112" spans="1:5" ht="12.95" customHeight="1">
      <c r="C112" s="66" t="s">
        <v>49</v>
      </c>
      <c r="D112" s="909">
        <f>'MBG Sum'!B53</f>
        <v>4064781</v>
      </c>
      <c r="E112" s="673">
        <f t="shared" si="2"/>
        <v>2E-3</v>
      </c>
    </row>
    <row r="113" spans="3:5" ht="12.95" customHeight="1">
      <c r="C113" s="62" t="s">
        <v>84</v>
      </c>
      <c r="D113" s="909">
        <f>'MBG Sum'!B45</f>
        <v>1289997415</v>
      </c>
      <c r="E113" s="673">
        <f t="shared" si="2"/>
        <v>0.64900000000000002</v>
      </c>
    </row>
    <row r="114" spans="3:5" ht="12.95" customHeight="1">
      <c r="C114" s="58"/>
      <c r="D114" s="58"/>
      <c r="E114" s="674"/>
    </row>
    <row r="115" spans="3:5" ht="12.95" customHeight="1">
      <c r="C115" s="70" t="s">
        <v>72</v>
      </c>
      <c r="D115" s="64">
        <f>SUM(D102:D114)</f>
        <v>1986819425</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76" t="str">
        <f>C115&amp;" "&amp;TEXT(D115,"$#,###")</f>
        <v>Total Operating Uses $1,986,819,425</v>
      </c>
    </row>
    <row r="137" spans="1:1" ht="12.95" customHeight="1">
      <c r="A137" s="1276"/>
    </row>
    <row r="138" spans="1:1" ht="12.95" customHeight="1">
      <c r="A138" s="376"/>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2.9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75" t="str">
        <f>'MBG Chts'!$A$1</f>
        <v>The University of Texas Medical Branch at Galveston</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104952</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3693.9200000000005</v>
      </c>
      <c r="J6" s="643"/>
      <c r="O6" s="51"/>
    </row>
    <row r="7" spans="1:15">
      <c r="B7" s="79"/>
      <c r="C7" s="5"/>
      <c r="I7" s="683" t="s">
        <v>1114</v>
      </c>
      <c r="J7" s="684"/>
      <c r="O7" s="51"/>
    </row>
    <row r="8" spans="1:15">
      <c r="A8" s="81" t="s">
        <v>74</v>
      </c>
      <c r="B8" s="81"/>
      <c r="C8" s="15"/>
      <c r="I8" s="685">
        <f>VLOOKUP($G$2,FTSELU,11,FALSE)</f>
        <v>1279</v>
      </c>
      <c r="J8" s="643"/>
      <c r="O8" s="51"/>
    </row>
    <row r="9" spans="1:15" ht="12.75" customHeight="1" thickBot="1">
      <c r="A9" s="78" t="s">
        <v>0</v>
      </c>
      <c r="B9" s="82"/>
      <c r="C9" s="8"/>
      <c r="J9" s="643"/>
      <c r="O9" s="51"/>
    </row>
    <row r="10" spans="1:15" ht="12.75" customHeight="1" thickTop="1">
      <c r="A10" s="74" t="s">
        <v>1108</v>
      </c>
      <c r="B10" s="83">
        <f>'MBG FGD'!M10</f>
        <v>369420210</v>
      </c>
      <c r="C10" s="83">
        <f>ROUND(B10/$C$6,0)</f>
        <v>100008</v>
      </c>
      <c r="D10" s="143">
        <f>'MBG FGD'!F10</f>
        <v>0</v>
      </c>
      <c r="E10" s="143"/>
      <c r="F10" s="84">
        <f>B10-(SUM(D10:E10))</f>
        <v>369420210</v>
      </c>
      <c r="G10" s="980" t="s">
        <v>1</v>
      </c>
      <c r="H10" s="981"/>
      <c r="I10" s="686" t="s">
        <v>1115</v>
      </c>
      <c r="J10" s="644">
        <f>ROUND(F10/$C$6,0)</f>
        <v>100008</v>
      </c>
      <c r="O10" s="51"/>
    </row>
    <row r="11" spans="1:15" ht="12.75" customHeight="1" thickBot="1">
      <c r="A11" s="74" t="s">
        <v>2</v>
      </c>
      <c r="B11" s="86">
        <f>'MBG FGD'!M11</f>
        <v>10962890</v>
      </c>
      <c r="C11" s="86">
        <f t="shared" ref="C11:C14" si="0">ROUND(B11/$C$6,0)</f>
        <v>2968</v>
      </c>
      <c r="D11" s="284">
        <f>'MBG FGD'!F11</f>
        <v>0</v>
      </c>
      <c r="E11" s="73"/>
      <c r="F11" s="566">
        <f t="shared" ref="F11:F14" si="1">B11-(SUM(D11:E11))</f>
        <v>10962890</v>
      </c>
      <c r="G11" s="987">
        <f>SUM(F10:F11)</f>
        <v>380383100</v>
      </c>
      <c r="H11" s="777"/>
      <c r="I11" s="791">
        <f>ROUND($G$11/$C$6,0)</f>
        <v>102975</v>
      </c>
      <c r="J11" s="645">
        <f t="shared" ref="J11:J14" si="2">ROUND(F11/$C$6,0)</f>
        <v>2968</v>
      </c>
      <c r="O11" s="51"/>
    </row>
    <row r="12" spans="1:15" ht="12.75" hidden="1" customHeight="1" thickTop="1" thickBot="1">
      <c r="A12" s="74" t="s">
        <v>1345</v>
      </c>
      <c r="B12" s="86"/>
      <c r="C12" s="86"/>
      <c r="D12" s="284"/>
      <c r="E12" s="73"/>
      <c r="F12" s="567"/>
      <c r="J12" s="645"/>
      <c r="O12" s="568"/>
    </row>
    <row r="13" spans="1:15" ht="12.75" customHeight="1" thickTop="1">
      <c r="A13" s="74" t="s">
        <v>1298</v>
      </c>
      <c r="B13" s="86">
        <f>'MBG FGD'!M13</f>
        <v>0</v>
      </c>
      <c r="C13" s="86">
        <f t="shared" si="0"/>
        <v>0</v>
      </c>
      <c r="D13" s="284">
        <f>'MBG FGD'!F13</f>
        <v>0</v>
      </c>
      <c r="E13" s="73"/>
      <c r="F13" s="786">
        <f t="shared" si="1"/>
        <v>0</v>
      </c>
      <c r="G13" s="780" t="s">
        <v>86</v>
      </c>
      <c r="H13" s="787"/>
      <c r="I13" s="731" t="s">
        <v>1116</v>
      </c>
      <c r="J13" s="645">
        <f t="shared" si="2"/>
        <v>0</v>
      </c>
      <c r="O13" s="51"/>
    </row>
    <row r="14" spans="1:15" ht="12.75" customHeight="1" thickBot="1">
      <c r="A14" s="74" t="s">
        <v>46</v>
      </c>
      <c r="B14" s="86">
        <f>'MBG FGD'!M14</f>
        <v>0</v>
      </c>
      <c r="C14" s="86">
        <f t="shared" si="0"/>
        <v>0</v>
      </c>
      <c r="D14" s="284">
        <f>'MBG FGD'!F14</f>
        <v>0</v>
      </c>
      <c r="E14" s="73"/>
      <c r="F14" s="567">
        <f t="shared" si="1"/>
        <v>0</v>
      </c>
      <c r="G14" s="687">
        <f>SUM(F13:F14)</f>
        <v>0</v>
      </c>
      <c r="H14" s="788"/>
      <c r="I14" s="792">
        <f>ROUND($G$11/$I$8,0)</f>
        <v>297407</v>
      </c>
      <c r="J14" s="689">
        <f t="shared" si="2"/>
        <v>0</v>
      </c>
      <c r="O14" s="51"/>
    </row>
    <row r="15" spans="1:15" ht="12.75" customHeight="1" thickTop="1">
      <c r="A15" s="87" t="s">
        <v>3</v>
      </c>
      <c r="B15" s="88">
        <f>SUM(B10:B14)</f>
        <v>380383100</v>
      </c>
      <c r="C15" s="88">
        <f>SUM(C10:C14)</f>
        <v>102976</v>
      </c>
      <c r="D15" s="88">
        <f>SUM(D10:D14)</f>
        <v>0</v>
      </c>
      <c r="E15" s="88">
        <f>SUM(E10:E14)</f>
        <v>0</v>
      </c>
      <c r="F15" s="646">
        <f>SUM(F10:F14)</f>
        <v>380383100</v>
      </c>
      <c r="I15" s="785"/>
      <c r="J15" s="669">
        <f>SUM(J10:J14)</f>
        <v>102976</v>
      </c>
      <c r="O15" s="51"/>
    </row>
    <row r="16" spans="1:15">
      <c r="C16" s="74"/>
      <c r="J16" s="643"/>
      <c r="O16" s="51"/>
    </row>
    <row r="17" spans="1:15" ht="12.75" customHeight="1">
      <c r="A17" s="78" t="s">
        <v>4</v>
      </c>
      <c r="C17" s="74"/>
      <c r="J17" s="643"/>
      <c r="O17" s="51"/>
    </row>
    <row r="18" spans="1:15">
      <c r="A18" s="74" t="s">
        <v>37</v>
      </c>
      <c r="B18" s="83">
        <f>'MBG FGD'!M29</f>
        <v>33090062</v>
      </c>
      <c r="C18" s="83">
        <f t="shared" ref="C18:C19" si="3">ROUND(B18/$C$6,0)</f>
        <v>8958</v>
      </c>
      <c r="D18" s="143">
        <f>'MBG FGD'!$F$29</f>
        <v>0</v>
      </c>
      <c r="E18" s="143"/>
      <c r="F18" s="143">
        <f t="shared" ref="F18:F19" si="4">B18-(SUM(D18:E18))</f>
        <v>33090062</v>
      </c>
      <c r="G18" s="351"/>
      <c r="H18" s="351"/>
      <c r="I18" s="351"/>
      <c r="J18" s="644">
        <f>ROUND(F18/$C$6,0)</f>
        <v>8958</v>
      </c>
      <c r="O18" s="51"/>
    </row>
    <row r="19" spans="1:15" ht="13.5" thickBot="1">
      <c r="A19" s="74" t="s">
        <v>38</v>
      </c>
      <c r="B19" s="86">
        <f>'MBG FGD'!M42</f>
        <v>8278900</v>
      </c>
      <c r="C19" s="86">
        <f t="shared" si="3"/>
        <v>2241</v>
      </c>
      <c r="D19" s="73">
        <f>'MBG FGD'!$F$42</f>
        <v>534422</v>
      </c>
      <c r="E19" s="73"/>
      <c r="F19" s="73">
        <f t="shared" si="4"/>
        <v>7744478</v>
      </c>
      <c r="G19" s="351"/>
      <c r="H19" s="351"/>
      <c r="I19" s="351"/>
      <c r="J19" s="645">
        <f>ROUND(F19/$C$6,0)</f>
        <v>2097</v>
      </c>
      <c r="O19" s="51"/>
    </row>
    <row r="20" spans="1:15" ht="14.25" thickTop="1" thickBot="1">
      <c r="A20" s="87" t="s">
        <v>5</v>
      </c>
      <c r="B20" s="88">
        <f>SUM(B18:B19)</f>
        <v>41368962</v>
      </c>
      <c r="C20" s="88">
        <f>SUM(C18:C19)</f>
        <v>11199</v>
      </c>
      <c r="D20" s="647">
        <f>SUM(D18:D19)</f>
        <v>534422</v>
      </c>
      <c r="E20" s="648">
        <f>SUM(E18:E19)</f>
        <v>0</v>
      </c>
      <c r="F20" s="690">
        <f>SUM(F18:F19)</f>
        <v>40834540</v>
      </c>
      <c r="G20" s="650" t="s">
        <v>87</v>
      </c>
      <c r="H20" s="569"/>
      <c r="I20" s="570"/>
      <c r="J20" s="651">
        <f>SUM(J18:J19)</f>
        <v>11055</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'MBG FGD'!M47</f>
        <v>129743832</v>
      </c>
      <c r="C23" s="88"/>
      <c r="D23" s="647">
        <f>'MBG FGD'!F47</f>
        <v>0</v>
      </c>
      <c r="E23" s="648"/>
      <c r="F23" s="690">
        <f>B23-(SUM(D23:E23))</f>
        <v>129743832</v>
      </c>
      <c r="G23" s="652" t="s">
        <v>1162</v>
      </c>
      <c r="H23" s="569"/>
      <c r="I23" s="570"/>
      <c r="J23" s="668">
        <f>ROUND(F23/$C$6,0)</f>
        <v>35124</v>
      </c>
      <c r="O23" s="51"/>
    </row>
    <row r="24" spans="1:15" ht="13.5" thickTop="1">
      <c r="C24" s="74"/>
      <c r="J24" s="643"/>
      <c r="O24" s="51"/>
    </row>
    <row r="25" spans="1:15">
      <c r="A25" s="78" t="s">
        <v>57</v>
      </c>
      <c r="C25" s="74"/>
      <c r="D25" s="73"/>
      <c r="H25" s="351"/>
      <c r="J25" s="643"/>
      <c r="O25" s="51"/>
    </row>
    <row r="26" spans="1:15">
      <c r="A26" s="87" t="s">
        <v>56</v>
      </c>
      <c r="B26" s="88">
        <f>'MBG FGD'!M50</f>
        <v>199548093</v>
      </c>
      <c r="C26" s="88"/>
      <c r="D26" s="88">
        <f>'MBG FGD'!F50</f>
        <v>0</v>
      </c>
      <c r="E26" s="88">
        <f>B26-D26</f>
        <v>199548093</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'MBG FGD'!M53</f>
        <v>1194433196</v>
      </c>
      <c r="C29" s="88"/>
      <c r="D29" s="88">
        <f>'MBG FGD'!F53</f>
        <v>0</v>
      </c>
      <c r="E29" s="88">
        <f>B29-D29</f>
        <v>1194433196</v>
      </c>
      <c r="F29" s="88">
        <f t="shared" ref="F29" si="6">B29-(SUM(D29:E29))</f>
        <v>0</v>
      </c>
      <c r="G29" s="570"/>
      <c r="H29" s="570"/>
      <c r="I29" s="351"/>
      <c r="J29" s="645"/>
      <c r="O29" s="51"/>
    </row>
    <row r="30" spans="1:15">
      <c r="C30" s="74"/>
      <c r="E30" s="73"/>
      <c r="F30" s="73"/>
      <c r="G30" s="351"/>
      <c r="H30" s="351"/>
      <c r="I30" s="351"/>
      <c r="J30" s="645"/>
      <c r="O30" s="51"/>
    </row>
    <row r="31" spans="1:15" ht="12" customHeight="1">
      <c r="A31" s="78" t="s">
        <v>8</v>
      </c>
      <c r="C31" s="74"/>
      <c r="E31" s="73"/>
      <c r="F31" s="73"/>
      <c r="G31" s="24"/>
      <c r="H31" s="24"/>
      <c r="I31" s="577"/>
      <c r="J31" s="645"/>
      <c r="O31" s="51"/>
    </row>
    <row r="32" spans="1:15">
      <c r="A32" s="74" t="s">
        <v>40</v>
      </c>
      <c r="B32" s="83">
        <f>'MBG FGD'!M56</f>
        <v>60349285</v>
      </c>
      <c r="C32" s="83"/>
      <c r="D32" s="143">
        <f>'MBG FGD'!F56</f>
        <v>0</v>
      </c>
      <c r="E32" s="143"/>
      <c r="F32" s="143">
        <f t="shared" ref="F32:F37" si="7">B32-(SUM(D32:E32))</f>
        <v>60349285</v>
      </c>
      <c r="G32" s="351"/>
      <c r="H32" s="351"/>
      <c r="I32" s="351"/>
      <c r="J32" s="644">
        <f>ROUND(F32/$C$6,0)</f>
        <v>16337</v>
      </c>
      <c r="O32" s="51"/>
    </row>
    <row r="33" spans="1:30">
      <c r="A33" s="74" t="s">
        <v>9</v>
      </c>
      <c r="B33" s="86">
        <f>'MBG FGD'!M57</f>
        <v>1046267</v>
      </c>
      <c r="C33" s="86"/>
      <c r="D33" s="284">
        <f>'MBG FGD'!F57</f>
        <v>0</v>
      </c>
      <c r="E33" s="73"/>
      <c r="F33" s="73">
        <f t="shared" si="7"/>
        <v>1046267</v>
      </c>
      <c r="G33" s="351"/>
      <c r="H33" s="351"/>
      <c r="I33" s="351"/>
      <c r="J33" s="645">
        <f t="shared" ref="J33:J37" si="8">ROUND(F33/$C$6,0)</f>
        <v>283</v>
      </c>
      <c r="O33" s="51"/>
    </row>
    <row r="34" spans="1:30" ht="13.5" thickBot="1">
      <c r="A34" s="74" t="s">
        <v>10</v>
      </c>
      <c r="B34" s="86">
        <f>'MBG FGD'!M58</f>
        <v>133522299</v>
      </c>
      <c r="C34" s="86"/>
      <c r="D34" s="284">
        <f>'MBG FGD'!F58</f>
        <v>490621</v>
      </c>
      <c r="E34" s="73"/>
      <c r="F34" s="73">
        <f t="shared" si="7"/>
        <v>133031678</v>
      </c>
      <c r="G34" s="351"/>
      <c r="H34" s="351"/>
      <c r="I34" s="351"/>
      <c r="J34" s="645">
        <f t="shared" si="8"/>
        <v>36014</v>
      </c>
      <c r="O34" s="51"/>
    </row>
    <row r="35" spans="1:30" ht="13.5" thickBot="1">
      <c r="A35" s="74" t="s">
        <v>11</v>
      </c>
      <c r="B35" s="86">
        <f>'MBG FGD'!M59</f>
        <v>13451815</v>
      </c>
      <c r="C35" s="86"/>
      <c r="D35" s="284">
        <f>'MBG FGD'!F59</f>
        <v>0</v>
      </c>
      <c r="E35" s="73"/>
      <c r="F35" s="73">
        <f t="shared" si="7"/>
        <v>13451815</v>
      </c>
      <c r="G35" s="351"/>
      <c r="H35" s="351"/>
      <c r="I35" s="351"/>
      <c r="J35" s="645">
        <f t="shared" si="8"/>
        <v>3642</v>
      </c>
      <c r="K35" s="1262"/>
      <c r="L35" s="1245"/>
      <c r="M35" s="1245"/>
      <c r="N35" s="1245"/>
      <c r="O35" s="1246"/>
    </row>
    <row r="36" spans="1:30" ht="13.5" thickBot="1">
      <c r="A36" s="92" t="s">
        <v>1362</v>
      </c>
      <c r="B36" s="86">
        <f>'MBG FGD'!M60</f>
        <v>12933001</v>
      </c>
      <c r="C36" s="86"/>
      <c r="D36" s="284">
        <f>'MBG FGD'!F60</f>
        <v>12933001</v>
      </c>
      <c r="E36" s="73"/>
      <c r="F36" s="73">
        <f t="shared" si="7"/>
        <v>0</v>
      </c>
      <c r="G36" s="351"/>
      <c r="H36" s="351"/>
      <c r="I36" s="351"/>
      <c r="J36" s="645">
        <f t="shared" si="8"/>
        <v>0</v>
      </c>
      <c r="K36" s="1262" t="s">
        <v>1017</v>
      </c>
      <c r="L36" s="1245"/>
      <c r="M36" s="1245"/>
      <c r="N36" s="1245"/>
      <c r="O36" s="1246"/>
    </row>
    <row r="37" spans="1:30" ht="13.5" customHeight="1" thickBot="1">
      <c r="A37" s="93" t="s">
        <v>41</v>
      </c>
      <c r="B37" s="86">
        <f>'MBG FGD'!M61</f>
        <v>55954790</v>
      </c>
      <c r="C37" s="86"/>
      <c r="D37" s="284">
        <f>'MBG FGD'!F61</f>
        <v>0</v>
      </c>
      <c r="E37" s="73"/>
      <c r="F37" s="73">
        <f t="shared" si="7"/>
        <v>55954790</v>
      </c>
      <c r="G37" s="24"/>
      <c r="H37" s="24"/>
      <c r="I37" s="577"/>
      <c r="J37" s="645">
        <f t="shared" si="8"/>
        <v>15148</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277257457</v>
      </c>
      <c r="C38" s="88"/>
      <c r="D38" s="291">
        <f>SUM(D32:D37)</f>
        <v>13423622</v>
      </c>
      <c r="E38" s="291">
        <f>SUM(E32:E37)</f>
        <v>0</v>
      </c>
      <c r="F38" s="692">
        <f>SUM(F32:F37)</f>
        <v>263833835</v>
      </c>
      <c r="G38" s="1259" t="s">
        <v>8</v>
      </c>
      <c r="H38" s="1260"/>
      <c r="I38" s="693" t="s">
        <v>1118</v>
      </c>
      <c r="J38" s="653">
        <f>SUM(J32:J37)</f>
        <v>71424</v>
      </c>
      <c r="K38" s="1264"/>
      <c r="L38" s="1264"/>
      <c r="M38" s="1264"/>
      <c r="N38" s="1264" t="s">
        <v>1021</v>
      </c>
      <c r="O38" s="1264" t="s">
        <v>1022</v>
      </c>
    </row>
    <row r="39" spans="1:30" ht="13.5" thickTop="1">
      <c r="A39" s="94" t="s">
        <v>71</v>
      </c>
      <c r="B39" s="47">
        <f>B15+B20+B23+B26+B29+B38</f>
        <v>2222734640</v>
      </c>
      <c r="C39" s="139"/>
      <c r="D39" s="47">
        <f>D15+D20+D23+D26+D29+D38</f>
        <v>13958044</v>
      </c>
      <c r="E39" s="47">
        <f>E15+E20+E23+E26+E29+E38</f>
        <v>1393981289</v>
      </c>
      <c r="F39" s="778">
        <f>F38+F23+F20+F15</f>
        <v>814795307</v>
      </c>
      <c r="G39" s="1261" t="s">
        <v>89</v>
      </c>
      <c r="H39" s="1261"/>
      <c r="I39" s="793">
        <f>ROUND($G$41/$C$6,0)</f>
        <v>220577</v>
      </c>
      <c r="J39" s="654">
        <f>J15+J20+J23+J38</f>
        <v>220579</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814795307</v>
      </c>
      <c r="I41" s="1046">
        <f>ROUND($G$41/$I$8,0)</f>
        <v>637057</v>
      </c>
      <c r="K41" s="571"/>
      <c r="L41" s="571"/>
      <c r="M41" s="571"/>
      <c r="N41" s="571"/>
      <c r="O41" s="571"/>
    </row>
    <row r="42" spans="1:30" ht="13.5" thickTop="1">
      <c r="A42" s="95" t="s">
        <v>14</v>
      </c>
      <c r="B42" s="83">
        <f>'MBG FGD'!M65</f>
        <v>337210597</v>
      </c>
      <c r="C42" s="83">
        <f t="shared" ref="C42:C52" si="9">ROUND(B42/$C$6,0)</f>
        <v>91288</v>
      </c>
      <c r="D42" s="143">
        <f>'MBG FGD'!F65</f>
        <v>0</v>
      </c>
      <c r="E42" s="143"/>
      <c r="F42" s="143">
        <f t="shared" ref="F42" si="10">B42-(SUM(D42:E42))</f>
        <v>337210597</v>
      </c>
      <c r="G42" s="351"/>
      <c r="H42" s="1048" t="s">
        <v>1394</v>
      </c>
      <c r="I42" s="1047">
        <f>ROUND(F42/$C$6,0)</f>
        <v>91288</v>
      </c>
      <c r="J42" s="351" t="s">
        <v>669</v>
      </c>
      <c r="K42" s="143">
        <f>F42</f>
        <v>337210597</v>
      </c>
      <c r="L42" s="143">
        <f>K42</f>
        <v>337210597</v>
      </c>
      <c r="M42" s="143"/>
      <c r="N42" s="143"/>
      <c r="O42" s="143"/>
    </row>
    <row r="43" spans="1:30">
      <c r="A43" s="95" t="s">
        <v>15</v>
      </c>
      <c r="B43" s="86">
        <f>'MBG FGD'!M66</f>
        <v>110635770</v>
      </c>
      <c r="C43" s="86">
        <f t="shared" si="9"/>
        <v>29951</v>
      </c>
      <c r="D43" s="357">
        <f>'MBG FGD'!F66</f>
        <v>0</v>
      </c>
      <c r="E43" s="73"/>
      <c r="F43" s="73">
        <f t="shared" ref="F43:F44" si="11">B43-(SUM(D43:E43))</f>
        <v>110635770</v>
      </c>
      <c r="G43" s="351"/>
      <c r="H43" s="351"/>
      <c r="J43" s="351" t="s">
        <v>1093</v>
      </c>
      <c r="K43" s="357">
        <f>F43</f>
        <v>110635770</v>
      </c>
      <c r="L43" s="357">
        <f>K43</f>
        <v>110635770</v>
      </c>
      <c r="M43" s="357"/>
      <c r="N43" s="357"/>
      <c r="O43" s="357"/>
    </row>
    <row r="44" spans="1:30">
      <c r="A44" s="95" t="s">
        <v>16</v>
      </c>
      <c r="B44" s="86">
        <f>'MBG FGD'!M67</f>
        <v>18195325</v>
      </c>
      <c r="C44" s="86"/>
      <c r="D44" s="357">
        <f>'MBG FGD'!F67</f>
        <v>0</v>
      </c>
      <c r="E44" s="284">
        <f>B44-D44</f>
        <v>18195325</v>
      </c>
      <c r="F44" s="73">
        <f t="shared" si="11"/>
        <v>0</v>
      </c>
      <c r="G44" s="351"/>
      <c r="H44" s="351"/>
      <c r="I44" s="351"/>
      <c r="J44" s="351" t="s">
        <v>1094</v>
      </c>
      <c r="K44" s="670"/>
      <c r="L44" s="671"/>
      <c r="M44" s="671" t="s">
        <v>1095</v>
      </c>
      <c r="N44" s="671"/>
      <c r="O44" s="672"/>
    </row>
    <row r="45" spans="1:30">
      <c r="A45" s="96" t="s">
        <v>55</v>
      </c>
      <c r="B45" s="86">
        <f>'MBG FGD'!M68</f>
        <v>1289997415</v>
      </c>
      <c r="C45" s="86"/>
      <c r="D45" s="357">
        <f>'MBG FGD'!F68</f>
        <v>0</v>
      </c>
      <c r="E45" s="284">
        <f>B45-D45</f>
        <v>1289997415</v>
      </c>
      <c r="F45" s="73">
        <f t="shared" ref="F45" si="12">B45-(SUM(D45:E45))</f>
        <v>0</v>
      </c>
      <c r="G45" s="776"/>
      <c r="J45" s="51" t="s">
        <v>1096</v>
      </c>
      <c r="K45" s="1266" t="s">
        <v>1095</v>
      </c>
      <c r="L45" s="1267"/>
      <c r="M45" s="1267"/>
      <c r="N45" s="1267"/>
      <c r="O45" s="1268"/>
    </row>
    <row r="46" spans="1:30">
      <c r="A46" s="95" t="s">
        <v>17</v>
      </c>
      <c r="B46" s="86">
        <f>'MBG FGD'!M69</f>
        <v>35259763</v>
      </c>
      <c r="C46" s="86">
        <f t="shared" si="9"/>
        <v>9545</v>
      </c>
      <c r="D46" s="357">
        <f>'MBG FGD'!F69</f>
        <v>0</v>
      </c>
      <c r="E46" s="73"/>
      <c r="F46" s="73">
        <f t="shared" ref="F46:F53" si="13">B46-(SUM(D46:E46))</f>
        <v>35259763</v>
      </c>
      <c r="G46" s="351"/>
      <c r="H46" s="1048" t="s">
        <v>1395</v>
      </c>
      <c r="I46" s="1047">
        <f>ROUND(F46/$C$6,0)</f>
        <v>9545</v>
      </c>
      <c r="J46" s="351" t="s">
        <v>1097</v>
      </c>
      <c r="K46" s="357">
        <f t="shared" ref="K46:K50" si="14">F46</f>
        <v>35259763</v>
      </c>
      <c r="L46" s="357">
        <f>K46</f>
        <v>35259763</v>
      </c>
      <c r="M46" s="357"/>
      <c r="N46" s="357"/>
      <c r="O46" s="357"/>
    </row>
    <row r="47" spans="1:30">
      <c r="A47" s="95" t="s">
        <v>18</v>
      </c>
      <c r="B47" s="86">
        <f>'MBG FGD'!M70</f>
        <v>6718483</v>
      </c>
      <c r="C47" s="86">
        <f t="shared" si="9"/>
        <v>1819</v>
      </c>
      <c r="D47" s="357">
        <f>'MBG FGD'!F70</f>
        <v>0</v>
      </c>
      <c r="E47" s="73"/>
      <c r="F47" s="73">
        <f t="shared" si="13"/>
        <v>6718483</v>
      </c>
      <c r="G47" s="351"/>
      <c r="H47" s="351"/>
      <c r="I47" s="351"/>
      <c r="J47" s="351" t="s">
        <v>1098</v>
      </c>
      <c r="K47" s="357">
        <f t="shared" si="14"/>
        <v>6718483</v>
      </c>
      <c r="L47" s="357"/>
      <c r="M47" s="357">
        <f>K47</f>
        <v>6718483</v>
      </c>
      <c r="N47" s="357"/>
      <c r="O47" s="357"/>
    </row>
    <row r="48" spans="1:30">
      <c r="A48" s="95" t="s">
        <v>19</v>
      </c>
      <c r="B48" s="86">
        <f>'MBG FGD'!M71</f>
        <v>87090538</v>
      </c>
      <c r="C48" s="86">
        <f t="shared" si="9"/>
        <v>23577</v>
      </c>
      <c r="D48" s="357">
        <f>'MBG FGD'!F71</f>
        <v>0</v>
      </c>
      <c r="E48" s="73"/>
      <c r="F48" s="73">
        <f t="shared" si="13"/>
        <v>87090538</v>
      </c>
      <c r="G48" s="351"/>
      <c r="H48" s="1048" t="s">
        <v>1396</v>
      </c>
      <c r="I48" s="1047">
        <f>ROUND(F48/$C$6,0)</f>
        <v>23577</v>
      </c>
      <c r="J48" s="351" t="s">
        <v>675</v>
      </c>
      <c r="K48" s="357">
        <f t="shared" si="14"/>
        <v>87090538</v>
      </c>
      <c r="L48" s="357"/>
      <c r="M48" s="357"/>
      <c r="N48" s="357">
        <f>K48</f>
        <v>87090538</v>
      </c>
      <c r="O48" s="357"/>
    </row>
    <row r="49" spans="1:30">
      <c r="A49" s="95" t="s">
        <v>20</v>
      </c>
      <c r="B49" s="86">
        <f>'MBG FGD'!M72</f>
        <v>59056075</v>
      </c>
      <c r="C49" s="86"/>
      <c r="D49" s="357">
        <f>'MBG FGD'!F72</f>
        <v>0</v>
      </c>
      <c r="E49" s="73"/>
      <c r="F49" s="73">
        <f t="shared" si="13"/>
        <v>59056075</v>
      </c>
      <c r="G49" s="351"/>
      <c r="H49" s="351"/>
      <c r="I49" s="351"/>
      <c r="J49" s="351" t="s">
        <v>676</v>
      </c>
      <c r="K49" s="357">
        <f t="shared" si="14"/>
        <v>59056075</v>
      </c>
      <c r="L49" s="357"/>
      <c r="M49" s="357"/>
      <c r="N49" s="357">
        <f>K49</f>
        <v>59056075</v>
      </c>
      <c r="O49" s="357"/>
    </row>
    <row r="50" spans="1:30">
      <c r="A50" s="95" t="s">
        <v>21</v>
      </c>
      <c r="B50" s="86">
        <f>'MBG FGD'!M73</f>
        <v>8013307</v>
      </c>
      <c r="C50" s="86">
        <f t="shared" si="9"/>
        <v>2169</v>
      </c>
      <c r="D50" s="357">
        <f>'MBG FGD'!F73</f>
        <v>0</v>
      </c>
      <c r="E50" s="73"/>
      <c r="F50" s="73">
        <f t="shared" si="13"/>
        <v>8013307</v>
      </c>
      <c r="G50" s="351"/>
      <c r="H50" s="351"/>
      <c r="I50" s="351"/>
      <c r="J50" s="351" t="s">
        <v>1099</v>
      </c>
      <c r="K50" s="357">
        <f t="shared" si="14"/>
        <v>8013307</v>
      </c>
      <c r="L50" s="357"/>
      <c r="M50" s="357">
        <f>K50</f>
        <v>8013307</v>
      </c>
      <c r="N50" s="357"/>
      <c r="O50" s="357"/>
    </row>
    <row r="51" spans="1:30">
      <c r="A51" s="95" t="s">
        <v>1363</v>
      </c>
      <c r="B51" s="86">
        <f>'MBG FGD'!M74</f>
        <v>11935905</v>
      </c>
      <c r="C51" s="86"/>
      <c r="D51" s="657">
        <f>B51</f>
        <v>11935905</v>
      </c>
      <c r="E51" s="73"/>
      <c r="F51" s="73">
        <f t="shared" si="13"/>
        <v>0</v>
      </c>
      <c r="G51" s="351"/>
      <c r="H51" s="351"/>
      <c r="I51" s="351"/>
      <c r="J51" s="351" t="s">
        <v>660</v>
      </c>
      <c r="K51" s="670"/>
      <c r="L51" s="671"/>
      <c r="M51" s="671" t="s">
        <v>1095</v>
      </c>
      <c r="N51" s="671"/>
      <c r="O51" s="672"/>
    </row>
    <row r="52" spans="1:30">
      <c r="A52" s="95" t="s">
        <v>65</v>
      </c>
      <c r="B52" s="86">
        <f>'MBG FGD'!M75</f>
        <v>18641466</v>
      </c>
      <c r="C52" s="86">
        <f t="shared" si="9"/>
        <v>5047</v>
      </c>
      <c r="D52" s="357">
        <f>'MBG FGD'!F75</f>
        <v>0</v>
      </c>
      <c r="E52" s="73"/>
      <c r="F52" s="73">
        <f t="shared" si="13"/>
        <v>18641466</v>
      </c>
      <c r="G52" s="351"/>
      <c r="J52" s="351" t="s">
        <v>1100</v>
      </c>
      <c r="K52" s="357">
        <f t="shared" ref="K52:K53" si="15">F52</f>
        <v>18641466</v>
      </c>
      <c r="L52" s="357"/>
      <c r="M52" s="357"/>
      <c r="N52" s="357"/>
      <c r="O52" s="357">
        <f>K52</f>
        <v>18641466</v>
      </c>
    </row>
    <row r="53" spans="1:30" ht="13.5" thickBot="1">
      <c r="A53" s="74" t="s">
        <v>47</v>
      </c>
      <c r="B53" s="86">
        <f>'MBG FGD'!M76</f>
        <v>4064781</v>
      </c>
      <c r="C53" s="86"/>
      <c r="D53" s="357">
        <f>'MBG FGD'!F76</f>
        <v>0</v>
      </c>
      <c r="E53" s="73"/>
      <c r="F53" s="73">
        <f t="shared" si="13"/>
        <v>4064781</v>
      </c>
      <c r="G53" s="24"/>
      <c r="H53" s="1048" t="s">
        <v>1397</v>
      </c>
      <c r="I53" s="1047">
        <f>ROUND(SUM(F43+F47+F49+F50+F52+F53)/$C$6,0)</f>
        <v>56073</v>
      </c>
      <c r="J53" s="572" t="s">
        <v>1022</v>
      </c>
      <c r="K53" s="357">
        <f t="shared" si="15"/>
        <v>4064781</v>
      </c>
      <c r="L53" s="573"/>
      <c r="M53" s="573"/>
      <c r="N53" s="573"/>
      <c r="O53" s="357">
        <f>K53</f>
        <v>4064781</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1986819425</v>
      </c>
      <c r="C54" s="48">
        <f>SUM(C42:C53)</f>
        <v>163396</v>
      </c>
      <c r="D54" s="48">
        <f>SUM(D42:D53)</f>
        <v>11935905</v>
      </c>
      <c r="E54" s="698">
        <f>SUM(E43:E53)</f>
        <v>1308192740</v>
      </c>
      <c r="F54" s="649">
        <f>SUM(F42:F53)</f>
        <v>666690780</v>
      </c>
      <c r="G54" s="1279" t="s">
        <v>1121</v>
      </c>
      <c r="H54" s="1280"/>
      <c r="I54" s="697" t="s">
        <v>1398</v>
      </c>
      <c r="J54" s="572" t="s">
        <v>1101</v>
      </c>
      <c r="K54" s="574">
        <f>SUM(K42:K53)</f>
        <v>666690780</v>
      </c>
      <c r="L54" s="574">
        <f t="shared" ref="L54:O54" si="16">SUM(L42:L53)</f>
        <v>483106130</v>
      </c>
      <c r="M54" s="574">
        <f t="shared" si="16"/>
        <v>14731790</v>
      </c>
      <c r="N54" s="574">
        <f t="shared" si="16"/>
        <v>146146613</v>
      </c>
      <c r="O54" s="574">
        <f t="shared" si="16"/>
        <v>22706247</v>
      </c>
    </row>
    <row r="55" spans="1:30" ht="14.25" customHeight="1" thickTop="1" thickBot="1">
      <c r="A55" s="92"/>
      <c r="C55" s="74"/>
      <c r="F55" s="575"/>
      <c r="G55" s="1281"/>
      <c r="H55" s="1282"/>
      <c r="I55" s="699">
        <f>ROUND(F54/C6,0)</f>
        <v>180483</v>
      </c>
      <c r="J55" s="1258" t="s">
        <v>1102</v>
      </c>
      <c r="K55" s="573"/>
      <c r="L55" s="573"/>
      <c r="M55" s="573"/>
      <c r="N55" s="573"/>
      <c r="O55" s="573"/>
    </row>
    <row r="56" spans="1:30" ht="16.5" customHeight="1" thickBot="1">
      <c r="A56" s="78" t="s">
        <v>23</v>
      </c>
      <c r="C56" s="74"/>
      <c r="F56" s="576"/>
      <c r="G56" s="1283"/>
      <c r="H56" s="1284"/>
      <c r="I56" s="693" t="s">
        <v>1399</v>
      </c>
      <c r="J56" s="1258"/>
      <c r="K56" s="700">
        <f>ROUND(K54/$C$6,2)</f>
        <v>180483.28</v>
      </c>
      <c r="L56" s="700">
        <f t="shared" ref="L56:O56" si="17">ROUND(L54/$C$6,2)</f>
        <v>130784.13</v>
      </c>
      <c r="M56" s="700">
        <f t="shared" si="17"/>
        <v>3988.12</v>
      </c>
      <c r="N56" s="700">
        <f t="shared" si="17"/>
        <v>39564.1</v>
      </c>
      <c r="O56" s="700">
        <f t="shared" si="17"/>
        <v>6146.92</v>
      </c>
      <c r="P56" s="89"/>
      <c r="Q56" s="89"/>
      <c r="R56" s="89"/>
      <c r="S56" s="89"/>
      <c r="T56" s="89"/>
      <c r="U56" s="89"/>
      <c r="V56" s="89"/>
      <c r="W56" s="89"/>
      <c r="X56" s="89"/>
      <c r="Y56" s="89"/>
      <c r="Z56" s="89"/>
      <c r="AA56" s="89"/>
      <c r="AB56" s="89"/>
      <c r="AC56" s="89"/>
      <c r="AD56" s="89"/>
    </row>
    <row r="57" spans="1:30" ht="13.5" thickTop="1">
      <c r="A57" s="74" t="s">
        <v>66</v>
      </c>
      <c r="B57" s="86">
        <f>'MBG FGD'!M80</f>
        <v>-288711367</v>
      </c>
      <c r="C57" s="86"/>
      <c r="D57" s="143">
        <f>'MBG FGD'!F80</f>
        <v>0</v>
      </c>
      <c r="E57" s="143"/>
      <c r="F57" s="1045">
        <f t="shared" ref="F57:F60" si="18">B57-(SUM(D57:E57))</f>
        <v>-288711367</v>
      </c>
      <c r="G57" s="780"/>
      <c r="I57" s="696">
        <f>ROUND($F$54/$I$8,0)</f>
        <v>521259</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'MBG FGD'!M81</f>
        <v>937089</v>
      </c>
      <c r="C58" s="86"/>
      <c r="D58" s="285">
        <f>'MBG FGD'!F81</f>
        <v>-230000</v>
      </c>
      <c r="E58" s="82"/>
      <c r="F58" s="73">
        <f t="shared" si="18"/>
        <v>1167089</v>
      </c>
      <c r="G58" s="351"/>
      <c r="J58" s="351"/>
      <c r="K58" s="578"/>
      <c r="L58" s="578"/>
      <c r="M58" s="578"/>
      <c r="N58" s="578"/>
      <c r="O58" s="578"/>
    </row>
    <row r="59" spans="1:30">
      <c r="A59" s="98" t="s">
        <v>52</v>
      </c>
      <c r="B59" s="86">
        <f>'MBG FGD'!M82</f>
        <v>140645940</v>
      </c>
      <c r="C59" s="86"/>
      <c r="D59" s="285">
        <f>'MBG FGD'!F82</f>
        <v>0</v>
      </c>
      <c r="E59" s="82"/>
      <c r="F59" s="73">
        <f t="shared" si="18"/>
        <v>140645940</v>
      </c>
      <c r="G59" s="24"/>
      <c r="J59" s="658"/>
      <c r="K59" s="658"/>
      <c r="L59" s="658"/>
      <c r="M59" s="658"/>
      <c r="N59" s="658"/>
      <c r="O59" s="658"/>
    </row>
    <row r="60" spans="1:30" ht="12" customHeight="1">
      <c r="A60" s="74" t="s">
        <v>43</v>
      </c>
      <c r="B60" s="86">
        <f>'MBG FGD'!M83</f>
        <v>-84310083</v>
      </c>
      <c r="C60" s="86"/>
      <c r="D60" s="285">
        <f>'MBG FGD'!F83</f>
        <v>-1370566</v>
      </c>
      <c r="E60" s="82"/>
      <c r="F60" s="73">
        <f t="shared" si="18"/>
        <v>-82939517</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-231438421</v>
      </c>
      <c r="C61" s="88"/>
      <c r="D61" s="88">
        <f>SUM(D57:D60)</f>
        <v>-1600566</v>
      </c>
      <c r="E61" s="88">
        <f>SUM(E57:E60)</f>
        <v>0</v>
      </c>
      <c r="F61" s="99">
        <f>SUM(F57:F60)</f>
        <v>-229837855</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'MBG FGD'!M87</f>
        <v>26768238</v>
      </c>
      <c r="C64" s="86"/>
      <c r="D64" s="143">
        <f>'MBG FGD'!F87</f>
        <v>0</v>
      </c>
      <c r="E64" s="143"/>
      <c r="F64" s="143">
        <f t="shared" ref="F64:F65" si="19">B64-(SUM(D64:E64))</f>
        <v>26768238</v>
      </c>
      <c r="O64" s="51"/>
    </row>
    <row r="65" spans="1:30">
      <c r="A65" s="74" t="s">
        <v>45</v>
      </c>
      <c r="B65" s="86">
        <f>'MBG FGD'!M88</f>
        <v>3840859</v>
      </c>
      <c r="C65" s="86"/>
      <c r="D65" s="285">
        <f>'MBG FGD'!F88</f>
        <v>0</v>
      </c>
      <c r="E65" s="82"/>
      <c r="F65" s="73">
        <f t="shared" si="19"/>
        <v>3840859</v>
      </c>
      <c r="O65" s="51"/>
      <c r="P65" s="89"/>
      <c r="Q65" s="89"/>
      <c r="R65" s="89"/>
      <c r="S65" s="89"/>
      <c r="T65" s="89"/>
      <c r="U65" s="89"/>
      <c r="V65" s="89"/>
      <c r="W65" s="89"/>
      <c r="X65" s="89"/>
      <c r="Y65" s="89"/>
      <c r="Z65" s="89"/>
      <c r="AA65" s="89"/>
      <c r="AB65" s="89"/>
      <c r="AC65" s="89"/>
      <c r="AD65" s="89"/>
    </row>
    <row r="66" spans="1:30" s="92" customFormat="1">
      <c r="A66" s="87" t="s">
        <v>3</v>
      </c>
      <c r="B66" s="88">
        <f>SUM(B64:B65)</f>
        <v>30609097</v>
      </c>
      <c r="C66" s="88"/>
      <c r="D66" s="88">
        <f>SUM(D64:D65)</f>
        <v>0</v>
      </c>
      <c r="E66" s="88">
        <f>SUM(E64:E65)</f>
        <v>0</v>
      </c>
      <c r="F66" s="88">
        <f>SUM(F64:F65)</f>
        <v>30609097</v>
      </c>
      <c r="G66" s="51"/>
      <c r="H66" s="51"/>
      <c r="I66" s="51"/>
      <c r="J66" s="51"/>
      <c r="K66" s="51"/>
      <c r="L66" s="51"/>
      <c r="M66" s="51"/>
      <c r="N66" s="51"/>
      <c r="O66" s="51"/>
    </row>
    <row r="67" spans="1:30">
      <c r="C67" s="74"/>
      <c r="O67" s="51"/>
    </row>
    <row r="68" spans="1:30" ht="13.5" thickBot="1">
      <c r="A68" s="100" t="s">
        <v>616</v>
      </c>
      <c r="B68" s="49">
        <f>B39-B54+B61+B66</f>
        <v>35085891</v>
      </c>
      <c r="C68" s="49"/>
      <c r="D68" s="49">
        <f>D39-D54+D61+D66</f>
        <v>421573</v>
      </c>
      <c r="E68" s="49">
        <f>E39-E54+E61+E66</f>
        <v>85788549</v>
      </c>
      <c r="F68" s="49">
        <f>F39-F54+F61+F66</f>
        <v>-51124231</v>
      </c>
      <c r="O68" s="51"/>
    </row>
    <row r="69" spans="1:30" ht="13.5" thickTop="1"/>
    <row r="70" spans="1:30">
      <c r="A70" s="51" t="s">
        <v>1109</v>
      </c>
      <c r="D70" s="143"/>
    </row>
    <row r="71" spans="1:30">
      <c r="A71" s="74" t="s">
        <v>51</v>
      </c>
    </row>
    <row r="72" spans="1:30">
      <c r="B72" s="659">
        <f>'MBG FGD'!$M$91</f>
        <v>35085891</v>
      </c>
      <c r="C72" s="74"/>
      <c r="D72" s="659">
        <f>'MBG FGD'!F91</f>
        <v>1003802</v>
      </c>
      <c r="E72" s="659">
        <f>'MBG FGD'!M50</f>
        <v>199548093</v>
      </c>
      <c r="F72" s="74"/>
    </row>
    <row r="73" spans="1:30">
      <c r="B73" s="659"/>
      <c r="C73" s="74"/>
      <c r="D73" s="659">
        <f>'MBG FGD'!F74</f>
        <v>11353676</v>
      </c>
      <c r="E73" s="659">
        <f>'MBG FGD'!M53</f>
        <v>1194433196</v>
      </c>
      <c r="F73" s="659"/>
    </row>
    <row r="74" spans="1:30">
      <c r="B74" s="676"/>
      <c r="C74" s="92"/>
      <c r="D74" s="676">
        <f>-'MBG FGD'!M74</f>
        <v>-11935905</v>
      </c>
      <c r="E74" s="659">
        <f>-'MBG FGD'!M68</f>
        <v>-1289997415</v>
      </c>
      <c r="F74" s="659"/>
    </row>
    <row r="75" spans="1:30">
      <c r="B75" s="676"/>
      <c r="C75" s="74"/>
      <c r="D75" s="676"/>
      <c r="E75" s="676">
        <f>-'MBG FGD'!M67</f>
        <v>-18195325</v>
      </c>
      <c r="F75" s="659"/>
      <c r="G75" s="351"/>
      <c r="H75" s="351"/>
    </row>
    <row r="76" spans="1:30" ht="12.75" customHeight="1">
      <c r="B76" s="675"/>
      <c r="C76" s="74"/>
      <c r="D76" s="675"/>
      <c r="E76" s="675">
        <f>-D26</f>
        <v>0</v>
      </c>
      <c r="F76" s="659"/>
      <c r="G76" s="351"/>
      <c r="H76" s="351"/>
    </row>
    <row r="77" spans="1:30" ht="12.75" customHeight="1">
      <c r="B77" s="659">
        <f>SUM(B72:B76)</f>
        <v>35085891</v>
      </c>
      <c r="C77" s="74"/>
      <c r="D77" s="659">
        <f>SUM(D72:D76)</f>
        <v>421573</v>
      </c>
      <c r="E77" s="659">
        <f>SUM(E72:E76)</f>
        <v>85788549</v>
      </c>
      <c r="F77" s="659">
        <f>B77-D77-E77</f>
        <v>-51124231</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35085891</v>
      </c>
      <c r="C80" s="74"/>
      <c r="D80" s="659">
        <f>SUM(D77:D79)</f>
        <v>421573</v>
      </c>
      <c r="E80" s="659">
        <f>SUM(E77:E79)</f>
        <v>85788549</v>
      </c>
      <c r="F80" s="659">
        <f>SUM(F77:F79)</f>
        <v>-51124231</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7.42578125" style="166" customWidth="1"/>
    <col min="13" max="13" width="18.28515625" style="166" customWidth="1"/>
    <col min="14" max="14" width="4.42578125" style="166" customWidth="1"/>
    <col min="15" max="15" width="16.855468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'MBG Chts'!$A$1</f>
        <v>The University of Texas Medical Branch at Galveston</v>
      </c>
      <c r="C2" s="1273"/>
      <c r="D2" s="1273"/>
      <c r="E2" s="1273"/>
      <c r="F2" s="1273"/>
      <c r="H2" s="174"/>
      <c r="I2" s="149" t="str">
        <f>IF($B$2&lt;&gt;Input!$H$7,"Name Mismatch","")</f>
        <v/>
      </c>
      <c r="K2" s="174"/>
      <c r="L2" s="174"/>
      <c r="M2" s="175"/>
      <c r="O2" s="737" t="s">
        <v>1123</v>
      </c>
      <c r="P2" s="294"/>
    </row>
    <row r="3" spans="1:28" ht="20.25">
      <c r="A3" s="173">
        <v>2</v>
      </c>
      <c r="B3" s="1273" t="str">
        <f>'Smmy Chts'!$A$2</f>
        <v>For the Year Ended August 31, 2018</v>
      </c>
      <c r="C3" s="1273"/>
      <c r="D3" s="1273"/>
      <c r="E3" s="1273"/>
      <c r="F3" s="1273"/>
      <c r="G3" s="174"/>
      <c r="H3" s="174"/>
      <c r="K3" s="174"/>
      <c r="L3" s="174"/>
      <c r="M3" s="175"/>
      <c r="O3" s="73"/>
    </row>
    <row r="4" spans="1:28" ht="20.25">
      <c r="A4" s="173">
        <v>3</v>
      </c>
      <c r="B4" s="1273" t="str">
        <f>'Smmy Chts'!$A$3</f>
        <v>Source: FY 2018 Annual Financial Report</v>
      </c>
      <c r="C4" s="1273"/>
      <c r="D4" s="1273"/>
      <c r="E4" s="1273"/>
      <c r="F4" s="1273"/>
      <c r="G4" s="174"/>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Input!$M$7</f>
        <v>369420210</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369420210</v>
      </c>
      <c r="O10" s="184"/>
      <c r="P10" s="1308" t="s">
        <v>595</v>
      </c>
      <c r="Q10" s="50"/>
      <c r="R10" s="50"/>
      <c r="S10" s="50"/>
      <c r="T10" s="183"/>
      <c r="U10" s="183"/>
      <c r="V10" s="50"/>
      <c r="W10" s="50"/>
      <c r="X10" s="50"/>
      <c r="Y10" s="50"/>
      <c r="Z10" s="50"/>
      <c r="AA10" s="50"/>
      <c r="AB10" s="50"/>
    </row>
    <row r="11" spans="1:28" s="149" customFormat="1">
      <c r="A11" s="147">
        <v>10</v>
      </c>
      <c r="B11" s="149" t="s">
        <v>2</v>
      </c>
      <c r="D11" s="355">
        <f>Input!$V$7</f>
        <v>45000</v>
      </c>
      <c r="E11" s="355">
        <f>Input!$W$7</f>
        <v>408593</v>
      </c>
      <c r="F11" s="355">
        <f>Input!$X$7</f>
        <v>0</v>
      </c>
      <c r="G11" s="355">
        <f>Input!$Y$7</f>
        <v>10509297</v>
      </c>
      <c r="H11" s="355">
        <f>Input!$Z$7</f>
        <v>0</v>
      </c>
      <c r="I11" s="355">
        <f>Input!$AA$7</f>
        <v>0</v>
      </c>
      <c r="J11" s="355">
        <f>Input!$AB$7</f>
        <v>0</v>
      </c>
      <c r="K11" s="355">
        <f>Input!$AC$7</f>
        <v>0</v>
      </c>
      <c r="L11" s="355">
        <f>Input!$AD$7</f>
        <v>0</v>
      </c>
      <c r="M11" s="357">
        <f t="shared" si="0"/>
        <v>10962890</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Input!$AN$7</f>
        <v>0</v>
      </c>
      <c r="E13" s="355">
        <f>Input!$AO$7</f>
        <v>0</v>
      </c>
      <c r="F13" s="355">
        <f>Input!$AP$7</f>
        <v>0</v>
      </c>
      <c r="G13" s="355">
        <f>Input!$AQ$7</f>
        <v>0</v>
      </c>
      <c r="H13" s="355">
        <f>Input!$AR$7</f>
        <v>0</v>
      </c>
      <c r="I13" s="355">
        <f>Input!$AS$7</f>
        <v>0</v>
      </c>
      <c r="J13" s="355">
        <f>Input!$AT$7</f>
        <v>0</v>
      </c>
      <c r="K13" s="355">
        <f>Input!$AU$7</f>
        <v>0</v>
      </c>
      <c r="L13" s="355">
        <f>Input!$AV$7</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369465210</v>
      </c>
      <c r="E15" s="356">
        <f t="shared" ref="E15:L15" si="1">SUM(E10:E14)</f>
        <v>408593</v>
      </c>
      <c r="F15" s="356">
        <f t="shared" si="1"/>
        <v>0</v>
      </c>
      <c r="G15" s="356">
        <f t="shared" si="1"/>
        <v>10509297</v>
      </c>
      <c r="H15" s="356">
        <f t="shared" si="1"/>
        <v>0</v>
      </c>
      <c r="I15" s="356">
        <f t="shared" si="1"/>
        <v>0</v>
      </c>
      <c r="J15" s="356">
        <f t="shared" si="1"/>
        <v>0</v>
      </c>
      <c r="K15" s="356">
        <f t="shared" si="1"/>
        <v>0</v>
      </c>
      <c r="L15" s="356">
        <f t="shared" si="1"/>
        <v>0</v>
      </c>
      <c r="M15" s="356">
        <f t="shared" si="0"/>
        <v>380383100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14818559</v>
      </c>
      <c r="E18" s="356">
        <f t="shared" si="2"/>
        <v>21982950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36801509</v>
      </c>
      <c r="V18" s="342"/>
      <c r="X18" s="326"/>
    </row>
    <row r="19" spans="1:26" s="50" customFormat="1" ht="12.75" customHeight="1" thickTop="1" thickBot="1">
      <c r="A19" s="293"/>
      <c r="B19" s="51" t="s">
        <v>638</v>
      </c>
      <c r="C19" s="51"/>
      <c r="D19" s="355">
        <f>Input!$BF$7</f>
        <v>-1254239</v>
      </c>
      <c r="E19" s="355">
        <f>Input!$BG$7</f>
        <v>-11940</v>
      </c>
      <c r="F19" s="355">
        <f>Input!$BH$7</f>
        <v>0</v>
      </c>
      <c r="G19" s="355">
        <f>Input!$BI$7</f>
        <v>0</v>
      </c>
      <c r="H19" s="355">
        <f>Input!$BJ$7</f>
        <v>0</v>
      </c>
      <c r="I19" s="355">
        <f>Input!BK6</f>
        <v>0</v>
      </c>
      <c r="J19" s="355">
        <f>Input!$BL$7</f>
        <v>0</v>
      </c>
      <c r="K19" s="355">
        <f>Input!BM6</f>
        <v>0</v>
      </c>
      <c r="L19" s="355">
        <f>Input!BN6</f>
        <v>0</v>
      </c>
      <c r="M19" s="357">
        <f t="shared" si="3"/>
        <v>-1266179</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Input!$BO$7</f>
        <v>0</v>
      </c>
      <c r="E20" s="355">
        <f>Input!$BP$7</f>
        <v>0</v>
      </c>
      <c r="F20" s="355">
        <f>Input!$BQ$7</f>
        <v>0</v>
      </c>
      <c r="G20" s="355">
        <f>Input!$BR$7</f>
        <v>0</v>
      </c>
      <c r="H20" s="355">
        <f>Input!$BS$7</f>
        <v>0</v>
      </c>
      <c r="I20" s="355">
        <f>Input!$BT$7</f>
        <v>0</v>
      </c>
      <c r="J20" s="355">
        <f>Input!BU6</f>
        <v>0</v>
      </c>
      <c r="K20" s="355">
        <f>Input!BV6</f>
        <v>0</v>
      </c>
      <c r="L20" s="355">
        <f>Input!$BW$7</f>
        <v>0</v>
      </c>
      <c r="M20" s="357">
        <f t="shared" si="3"/>
        <v>0</v>
      </c>
      <c r="O20" s="414" t="s">
        <v>215</v>
      </c>
      <c r="P20" s="415"/>
      <c r="Q20" s="416"/>
      <c r="R20" s="416"/>
      <c r="S20" s="537"/>
      <c r="U20" s="538" t="s">
        <v>997</v>
      </c>
      <c r="V20" s="296"/>
      <c r="W20" s="296"/>
      <c r="Y20" s="420"/>
    </row>
    <row r="21" spans="1:26" s="50" customFormat="1">
      <c r="A21" s="293"/>
      <c r="B21" s="51" t="s">
        <v>640</v>
      </c>
      <c r="C21" s="51"/>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O21" s="430"/>
      <c r="R21" s="347"/>
      <c r="S21" s="539"/>
      <c r="U21" s="621" t="s">
        <v>998</v>
      </c>
      <c r="V21" s="296"/>
      <c r="W21" s="296"/>
      <c r="X21" s="622">
        <f>M44</f>
        <v>41368962</v>
      </c>
      <c r="Y21" s="420"/>
      <c r="Z21" s="326"/>
    </row>
    <row r="22" spans="1:26" s="50" customFormat="1">
      <c r="A22" s="293"/>
      <c r="B22" s="51" t="s">
        <v>641</v>
      </c>
      <c r="C22" s="51"/>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99"/>
      <c r="O22" s="430" t="s">
        <v>999</v>
      </c>
      <c r="P22" s="305"/>
      <c r="Q22" s="419">
        <f>M23</f>
        <v>35535330</v>
      </c>
      <c r="S22" s="540"/>
      <c r="U22" s="621" t="s">
        <v>1000</v>
      </c>
      <c r="V22" s="296"/>
      <c r="W22" s="296"/>
      <c r="X22" s="623">
        <f>R30*-1</f>
        <v>2706264</v>
      </c>
      <c r="Y22" s="420"/>
    </row>
    <row r="23" spans="1:26" s="50" customFormat="1" ht="12.75" customHeight="1">
      <c r="A23" s="293"/>
      <c r="B23" s="536" t="s">
        <v>642</v>
      </c>
      <c r="C23" s="179"/>
      <c r="D23" s="541">
        <f>Input!$CP$7</f>
        <v>13564320</v>
      </c>
      <c r="E23" s="541">
        <f>Input!$CQ$7</f>
        <v>21971010</v>
      </c>
      <c r="F23" s="541">
        <f>Input!$CR$7</f>
        <v>0</v>
      </c>
      <c r="G23" s="541">
        <f>Input!$CS$7</f>
        <v>0</v>
      </c>
      <c r="H23" s="541">
        <f>Input!$CT$7</f>
        <v>0</v>
      </c>
      <c r="I23" s="541">
        <f>Input!$CU$7</f>
        <v>0</v>
      </c>
      <c r="J23" s="541">
        <f>Input!$CV$7</f>
        <v>0</v>
      </c>
      <c r="K23" s="541">
        <f>Input!$CW$7</f>
        <v>0</v>
      </c>
      <c r="L23" s="541">
        <f>Input!$CX$7</f>
        <v>0</v>
      </c>
      <c r="M23" s="542">
        <f t="shared" si="3"/>
        <v>35535330</v>
      </c>
      <c r="O23" s="430"/>
      <c r="P23" s="305"/>
      <c r="Q23" s="419"/>
      <c r="S23" s="540"/>
      <c r="U23" s="538" t="s">
        <v>1185</v>
      </c>
      <c r="V23" s="296"/>
      <c r="W23" s="296"/>
      <c r="X23" s="305"/>
      <c r="Y23" s="420">
        <f>SUM(X21:X22)</f>
        <v>44075226</v>
      </c>
      <c r="Z23" s="326"/>
    </row>
    <row r="24" spans="1:26" s="50" customFormat="1" ht="12.75" customHeight="1">
      <c r="A24" s="293"/>
      <c r="B24" s="51" t="s">
        <v>643</v>
      </c>
      <c r="C24" s="180"/>
      <c r="D24" s="355">
        <f>Input!$CY$7</f>
        <v>0</v>
      </c>
      <c r="E24" s="355">
        <f>Input!$CZ$7</f>
        <v>0</v>
      </c>
      <c r="F24" s="355">
        <f>Input!$DA$7</f>
        <v>0</v>
      </c>
      <c r="G24" s="355">
        <f>Input!$DB$7</f>
        <v>0</v>
      </c>
      <c r="H24" s="355">
        <f>Input!$DC$7</f>
        <v>0</v>
      </c>
      <c r="I24" s="355">
        <f>Input!$DD$7</f>
        <v>0</v>
      </c>
      <c r="J24" s="355">
        <f>Input!$DE$7</f>
        <v>0</v>
      </c>
      <c r="K24" s="355">
        <f>Input!$DF$7</f>
        <v>0</v>
      </c>
      <c r="L24" s="355">
        <f>Input!$DG$7</f>
        <v>0</v>
      </c>
      <c r="M24" s="543">
        <f t="shared" si="3"/>
        <v>0</v>
      </c>
      <c r="O24" s="418" t="s">
        <v>1001</v>
      </c>
      <c r="P24" s="305"/>
      <c r="Q24" s="342"/>
      <c r="R24" s="342">
        <f>SUM(M24:M28)</f>
        <v>-2445268</v>
      </c>
      <c r="S24" s="540"/>
      <c r="U24" s="538"/>
      <c r="V24" s="296"/>
      <c r="W24" s="296"/>
      <c r="Y24" s="420"/>
      <c r="Z24" s="326"/>
    </row>
    <row r="25" spans="1:26" s="50" customFormat="1" ht="12.75" customHeight="1">
      <c r="A25" s="293"/>
      <c r="B25" s="51" t="s">
        <v>644</v>
      </c>
      <c r="C25" s="180"/>
      <c r="D25" s="355">
        <f>Input!$DH$7</f>
        <v>0</v>
      </c>
      <c r="E25" s="355">
        <f>Input!$DI$7</f>
        <v>0</v>
      </c>
      <c r="F25" s="355">
        <f>Input!$DJ$7</f>
        <v>0</v>
      </c>
      <c r="G25" s="355">
        <f>Input!$DK$7</f>
        <v>0</v>
      </c>
      <c r="H25" s="355">
        <f>Input!$DL$7</f>
        <v>0</v>
      </c>
      <c r="I25" s="355">
        <f>Input!$DM$7</f>
        <v>0</v>
      </c>
      <c r="J25" s="355">
        <f>Input!$DN$7</f>
        <v>0</v>
      </c>
      <c r="K25" s="355">
        <f>Input!$DO$7</f>
        <v>0</v>
      </c>
      <c r="L25" s="355">
        <f>Input!$DP$7</f>
        <v>0</v>
      </c>
      <c r="M25" s="543">
        <f t="shared" si="3"/>
        <v>0</v>
      </c>
      <c r="O25" s="430"/>
      <c r="P25" s="305"/>
      <c r="Q25" s="342"/>
      <c r="R25" s="342"/>
      <c r="S25" s="540"/>
      <c r="U25" s="544" t="s">
        <v>1045</v>
      </c>
      <c r="V25" s="545"/>
      <c r="W25" s="545"/>
      <c r="X25" s="624">
        <f>(M26+M39)*-1</f>
        <v>667387</v>
      </c>
      <c r="Y25" s="420"/>
      <c r="Z25" s="326"/>
    </row>
    <row r="26" spans="1:26" s="50" customFormat="1" ht="12.75" customHeight="1">
      <c r="A26" s="293"/>
      <c r="B26" s="51" t="s">
        <v>645</v>
      </c>
      <c r="C26" s="180"/>
      <c r="D26" s="355">
        <f>Input!$DQ$7</f>
        <v>-203519</v>
      </c>
      <c r="E26" s="355">
        <f>Input!$DR$7</f>
        <v>-463868</v>
      </c>
      <c r="F26" s="355">
        <f>Input!$DS$7</f>
        <v>0</v>
      </c>
      <c r="G26" s="355">
        <f>Input!$DT$7</f>
        <v>0</v>
      </c>
      <c r="H26" s="355">
        <f>Input!$DU$7</f>
        <v>0</v>
      </c>
      <c r="I26" s="355">
        <f>Input!$DV$7</f>
        <v>0</v>
      </c>
      <c r="J26" s="355">
        <f>Input!$DW$7</f>
        <v>0</v>
      </c>
      <c r="K26" s="355">
        <f>Input!$DX$7</f>
        <v>0</v>
      </c>
      <c r="L26" s="355">
        <f>Input!$DY$7</f>
        <v>0</v>
      </c>
      <c r="M26" s="543">
        <f t="shared" si="3"/>
        <v>-667387</v>
      </c>
      <c r="O26" s="430" t="s">
        <v>1002</v>
      </c>
      <c r="P26" s="305"/>
      <c r="Q26" s="422">
        <f>M36</f>
        <v>8539896</v>
      </c>
      <c r="R26" s="423"/>
      <c r="S26" s="546"/>
      <c r="U26" s="538" t="s">
        <v>1046</v>
      </c>
      <c r="V26" s="296"/>
      <c r="W26" s="296"/>
      <c r="X26" s="547">
        <f>(M21+M34)*-1</f>
        <v>0</v>
      </c>
      <c r="Y26" s="420"/>
      <c r="Z26" s="326"/>
    </row>
    <row r="27" spans="1:26" s="50" customFormat="1">
      <c r="A27" s="293"/>
      <c r="B27" s="51" t="s">
        <v>646</v>
      </c>
      <c r="C27" s="180"/>
      <c r="D27" s="355">
        <f>Input!$DZ$7</f>
        <v>0</v>
      </c>
      <c r="E27" s="355">
        <f>Input!$EA$7</f>
        <v>0</v>
      </c>
      <c r="F27" s="355">
        <f>Input!$EB$7</f>
        <v>0</v>
      </c>
      <c r="G27" s="355">
        <f>Input!$EC$7</f>
        <v>0</v>
      </c>
      <c r="H27" s="355">
        <f>Input!$ED$7</f>
        <v>0</v>
      </c>
      <c r="I27" s="355">
        <f>Input!$EE$7</f>
        <v>0</v>
      </c>
      <c r="J27" s="355">
        <f>Input!$EF$7</f>
        <v>0</v>
      </c>
      <c r="K27" s="355">
        <f>Input!$EG$7</f>
        <v>0</v>
      </c>
      <c r="L27" s="355">
        <f>Input!$EH$7</f>
        <v>0</v>
      </c>
      <c r="M27" s="543">
        <f t="shared" si="3"/>
        <v>0</v>
      </c>
      <c r="O27" s="430"/>
      <c r="P27" s="305"/>
      <c r="Q27" s="422"/>
      <c r="R27" s="423"/>
      <c r="S27" s="546"/>
      <c r="U27" s="621" t="s">
        <v>1047</v>
      </c>
      <c r="V27" s="221"/>
      <c r="W27" s="221"/>
      <c r="X27" s="625">
        <f>SUM(X25:X26)</f>
        <v>667387</v>
      </c>
      <c r="Y27" s="626"/>
    </row>
    <row r="28" spans="1:26" s="50" customFormat="1">
      <c r="A28" s="293"/>
      <c r="B28" s="51" t="s">
        <v>1361</v>
      </c>
      <c r="C28" s="180"/>
      <c r="D28" s="355">
        <f>Input!$EI$7</f>
        <v>-1135126</v>
      </c>
      <c r="E28" s="355">
        <f>Input!$EJ$7</f>
        <v>-642755</v>
      </c>
      <c r="F28" s="355">
        <f>Input!$EK$7</f>
        <v>0</v>
      </c>
      <c r="G28" s="355">
        <f>Input!$EL$7</f>
        <v>0</v>
      </c>
      <c r="H28" s="355">
        <f>Input!$EM$7</f>
        <v>0</v>
      </c>
      <c r="I28" s="355">
        <f>Input!$EN$7</f>
        <v>0</v>
      </c>
      <c r="J28" s="355">
        <f>Input!$EO$7</f>
        <v>0</v>
      </c>
      <c r="K28" s="355">
        <f>Input!$EP$7</f>
        <v>0</v>
      </c>
      <c r="L28" s="355">
        <f>Input!$EQ$7</f>
        <v>0</v>
      </c>
      <c r="M28" s="543">
        <f t="shared" si="3"/>
        <v>-1777881</v>
      </c>
      <c r="O28" s="418" t="s">
        <v>1003</v>
      </c>
      <c r="Q28" s="425"/>
      <c r="R28" s="342">
        <f>SUM(M37:M41)</f>
        <v>-260996</v>
      </c>
      <c r="S28" s="540"/>
      <c r="U28" s="538" t="s">
        <v>1048</v>
      </c>
      <c r="V28" s="296"/>
      <c r="W28" s="296"/>
      <c r="X28" s="420">
        <f>(M27+M40)*-1</f>
        <v>0</v>
      </c>
      <c r="Y28" s="626"/>
      <c r="Z28" s="326"/>
    </row>
    <row r="29" spans="1:26" s="50" customFormat="1" ht="12" customHeight="1">
      <c r="A29" s="293"/>
      <c r="B29" s="551" t="s">
        <v>37</v>
      </c>
      <c r="C29" s="179"/>
      <c r="D29" s="356">
        <f t="shared" ref="D29:L29" si="4">SUM(D23:D28)</f>
        <v>12225675</v>
      </c>
      <c r="E29" s="356">
        <f t="shared" si="4"/>
        <v>20864387</v>
      </c>
      <c r="F29" s="356">
        <f t="shared" si="4"/>
        <v>0</v>
      </c>
      <c r="G29" s="356">
        <f t="shared" si="4"/>
        <v>0</v>
      </c>
      <c r="H29" s="356">
        <f t="shared" si="4"/>
        <v>0</v>
      </c>
      <c r="I29" s="356">
        <f t="shared" si="4"/>
        <v>0</v>
      </c>
      <c r="J29" s="356">
        <f t="shared" si="4"/>
        <v>0</v>
      </c>
      <c r="K29" s="356">
        <f t="shared" si="4"/>
        <v>0</v>
      </c>
      <c r="L29" s="356">
        <f t="shared" si="4"/>
        <v>0</v>
      </c>
      <c r="M29" s="356">
        <f t="shared" si="3"/>
        <v>33090062</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44075226</v>
      </c>
      <c r="R30" s="429">
        <f>R28+R24</f>
        <v>-2706264</v>
      </c>
      <c r="S30" s="553"/>
      <c r="U30" s="621" t="s">
        <v>1050</v>
      </c>
      <c r="V30" s="221"/>
      <c r="W30" s="221"/>
      <c r="X30" s="625">
        <f>SUM(X28:X29)</f>
        <v>0</v>
      </c>
      <c r="Y30" s="626"/>
    </row>
    <row r="31" spans="1:26" s="50" customFormat="1" ht="12.75" customHeight="1">
      <c r="A31" s="293"/>
      <c r="B31" s="536" t="s">
        <v>1005</v>
      </c>
      <c r="C31" s="536"/>
      <c r="D31" s="356">
        <f t="shared" ref="D31:L31" si="5">D36-SUM(D32:D35)</f>
        <v>477290</v>
      </c>
      <c r="E31" s="356">
        <f t="shared" si="5"/>
        <v>7521089</v>
      </c>
      <c r="F31" s="356">
        <f t="shared" si="5"/>
        <v>541517</v>
      </c>
      <c r="G31" s="356">
        <f t="shared" si="5"/>
        <v>0</v>
      </c>
      <c r="H31" s="356">
        <f t="shared" si="5"/>
        <v>0</v>
      </c>
      <c r="I31" s="356">
        <f t="shared" si="5"/>
        <v>0</v>
      </c>
      <c r="J31" s="356">
        <f t="shared" si="5"/>
        <v>0</v>
      </c>
      <c r="K31" s="356">
        <f t="shared" si="5"/>
        <v>0</v>
      </c>
      <c r="L31" s="356">
        <f t="shared" si="5"/>
        <v>0</v>
      </c>
      <c r="M31" s="356">
        <f t="shared" ref="M31:M42" si="6">D31+E31+F31+G31+H31+I31+J31+K31+L31</f>
        <v>8539896</v>
      </c>
      <c r="O31" s="430" t="s">
        <v>217</v>
      </c>
      <c r="P31" s="305"/>
      <c r="Q31" s="349"/>
      <c r="R31" s="305"/>
      <c r="S31" s="540"/>
      <c r="U31" s="548" t="s">
        <v>1051</v>
      </c>
      <c r="V31" s="549"/>
      <c r="W31" s="549"/>
      <c r="X31" s="550">
        <f>X27+X30</f>
        <v>667387</v>
      </c>
      <c r="Y31" s="420"/>
      <c r="Z31" s="326"/>
    </row>
    <row r="32" spans="1:26" s="50" customFormat="1" ht="12.75" customHeight="1">
      <c r="A32" s="293"/>
      <c r="B32" s="51" t="s">
        <v>638</v>
      </c>
      <c r="C32" s="51"/>
      <c r="D32" s="355">
        <f>Input!$ER$7</f>
        <v>0</v>
      </c>
      <c r="E32" s="355">
        <f>Input!$ES$7</f>
        <v>0</v>
      </c>
      <c r="F32" s="355">
        <f>Input!$ET$7</f>
        <v>0</v>
      </c>
      <c r="G32" s="355">
        <f>Input!$EU$7</f>
        <v>0</v>
      </c>
      <c r="H32" s="355">
        <f>Input!$EV$7</f>
        <v>0</v>
      </c>
      <c r="I32" s="355">
        <f>Input!$EW$7</f>
        <v>0</v>
      </c>
      <c r="J32" s="355">
        <f>Input!$EX$7</f>
        <v>0</v>
      </c>
      <c r="K32" s="355">
        <f>Input!$EY$7</f>
        <v>0</v>
      </c>
      <c r="L32" s="355">
        <f>Input!$EZ$7</f>
        <v>0</v>
      </c>
      <c r="M32" s="543">
        <f t="shared" si="6"/>
        <v>0</v>
      </c>
      <c r="O32" s="431" t="s">
        <v>1245</v>
      </c>
      <c r="P32" s="432"/>
      <c r="Q32" s="433">
        <f>Input!$TI$7</f>
        <v>44075226</v>
      </c>
      <c r="R32" s="432"/>
      <c r="S32" s="554"/>
      <c r="U32" s="538"/>
      <c r="V32" s="296"/>
      <c r="W32" s="296"/>
      <c r="Y32" s="420"/>
      <c r="Z32" s="326"/>
    </row>
    <row r="33" spans="1:28" s="50" customFormat="1">
      <c r="A33" s="293"/>
      <c r="B33" s="51" t="s">
        <v>639</v>
      </c>
      <c r="C33" s="51"/>
      <c r="D33" s="355">
        <f>Input!$FA$7</f>
        <v>0</v>
      </c>
      <c r="E33" s="355">
        <f>Input!$FB$7</f>
        <v>0</v>
      </c>
      <c r="F33" s="355">
        <f>Input!$FC$7</f>
        <v>0</v>
      </c>
      <c r="G33" s="355">
        <f>Input!$FD$7</f>
        <v>0</v>
      </c>
      <c r="H33" s="355">
        <f>Input!$FE$7</f>
        <v>0</v>
      </c>
      <c r="I33" s="355">
        <f>Input!$FF$7</f>
        <v>0</v>
      </c>
      <c r="J33" s="355">
        <f>Input!$FG$7</f>
        <v>0</v>
      </c>
      <c r="K33" s="355">
        <f>Input!$FH$7</f>
        <v>0</v>
      </c>
      <c r="L33" s="355">
        <f>Input!$FI$7</f>
        <v>0</v>
      </c>
      <c r="M33" s="543">
        <f t="shared" si="6"/>
        <v>0</v>
      </c>
      <c r="O33" s="431"/>
      <c r="P33" s="432"/>
      <c r="Q33" s="342"/>
      <c r="R33" s="432"/>
      <c r="S33" s="554"/>
      <c r="U33" s="538" t="s">
        <v>1004</v>
      </c>
      <c r="V33" s="296"/>
      <c r="W33" s="296"/>
      <c r="X33" s="347">
        <f>(M19+M32)*-1</f>
        <v>1266179</v>
      </c>
      <c r="Y33" s="420"/>
    </row>
    <row r="34" spans="1:28" s="50" customFormat="1">
      <c r="A34" s="293"/>
      <c r="B34" s="51" t="s">
        <v>640</v>
      </c>
      <c r="C34" s="51"/>
      <c r="D34" s="355">
        <f>Input!$FJ$7</f>
        <v>0</v>
      </c>
      <c r="E34" s="355">
        <f>Input!$FK$7</f>
        <v>0</v>
      </c>
      <c r="F34" s="355">
        <f>Input!$FL$7</f>
        <v>0</v>
      </c>
      <c r="G34" s="355">
        <f>Input!$FM$7</f>
        <v>0</v>
      </c>
      <c r="H34" s="355">
        <f>Input!$FN$7</f>
        <v>0</v>
      </c>
      <c r="I34" s="355">
        <f>Input!$FO$7</f>
        <v>0</v>
      </c>
      <c r="J34" s="355">
        <f>Input!$FP$7</f>
        <v>0</v>
      </c>
      <c r="K34" s="355">
        <f>Input!$FQ$7</f>
        <v>0</v>
      </c>
      <c r="L34" s="355">
        <f>Input!$FR$7</f>
        <v>0</v>
      </c>
      <c r="M34" s="543">
        <f t="shared" si="6"/>
        <v>0</v>
      </c>
      <c r="O34" s="434" t="s">
        <v>1246</v>
      </c>
      <c r="P34" s="435"/>
      <c r="Q34" s="50" t="s">
        <v>218</v>
      </c>
      <c r="R34" s="433">
        <f>Input!$TJ$7</f>
        <v>-2706264</v>
      </c>
      <c r="S34" s="555"/>
      <c r="U34" s="538" t="s">
        <v>1052</v>
      </c>
      <c r="V34" s="296"/>
      <c r="W34" s="296"/>
      <c r="X34" s="426">
        <f>(M24+M37)*-1</f>
        <v>0</v>
      </c>
      <c r="Y34" s="420"/>
    </row>
    <row r="35" spans="1:28" s="50" customFormat="1" ht="13.5" thickBot="1">
      <c r="A35" s="293"/>
      <c r="B35" s="51" t="s">
        <v>641</v>
      </c>
      <c r="C35" s="51"/>
      <c r="D35" s="355">
        <f>Input!$FS$7</f>
        <v>0</v>
      </c>
      <c r="E35" s="355">
        <f>Input!$FT$7</f>
        <v>0</v>
      </c>
      <c r="F35" s="355">
        <f>Input!$FU$7</f>
        <v>0</v>
      </c>
      <c r="G35" s="355">
        <f>Input!$FV$7</f>
        <v>0</v>
      </c>
      <c r="H35" s="355">
        <f>Input!$FW$7</f>
        <v>0</v>
      </c>
      <c r="I35" s="355">
        <f>Input!$FX$7</f>
        <v>0</v>
      </c>
      <c r="J35" s="355">
        <f>Input!$FY$7</f>
        <v>0</v>
      </c>
      <c r="K35" s="355">
        <f>Input!$FZ$7</f>
        <v>0</v>
      </c>
      <c r="L35" s="355">
        <f>Input!$GA$7</f>
        <v>0</v>
      </c>
      <c r="M35" s="543">
        <f t="shared" si="6"/>
        <v>0</v>
      </c>
      <c r="O35" s="436" t="s">
        <v>219</v>
      </c>
      <c r="P35" s="437"/>
      <c r="Q35" s="438">
        <f>Q30-Q32</f>
        <v>0</v>
      </c>
      <c r="R35" s="439">
        <f>R30-R34</f>
        <v>0</v>
      </c>
      <c r="S35" s="556"/>
      <c r="U35" s="621" t="s">
        <v>1053</v>
      </c>
      <c r="V35" s="221"/>
      <c r="W35" s="221"/>
      <c r="X35" s="627">
        <f>SUM(X33:X34)</f>
        <v>1266179</v>
      </c>
      <c r="Y35" s="626"/>
    </row>
    <row r="36" spans="1:28" s="50" customFormat="1" ht="13.5" thickTop="1">
      <c r="A36" s="293"/>
      <c r="B36" s="536" t="s">
        <v>648</v>
      </c>
      <c r="C36" s="179"/>
      <c r="D36" s="541">
        <f>Input!$GB$7</f>
        <v>477290</v>
      </c>
      <c r="E36" s="541">
        <f>Input!$GC$7</f>
        <v>7521089</v>
      </c>
      <c r="F36" s="541">
        <f>Input!$GD$7</f>
        <v>541517</v>
      </c>
      <c r="G36" s="541">
        <f>Input!$GE$7</f>
        <v>0</v>
      </c>
      <c r="H36" s="541">
        <f>Input!$GF$7</f>
        <v>0</v>
      </c>
      <c r="I36" s="541">
        <f>Input!$GG$7</f>
        <v>0</v>
      </c>
      <c r="J36" s="541">
        <f>Input!$GH$7</f>
        <v>0</v>
      </c>
      <c r="K36" s="541">
        <f>Input!$GI$7</f>
        <v>0</v>
      </c>
      <c r="L36" s="541">
        <f>Input!$GJ$7</f>
        <v>0</v>
      </c>
      <c r="M36" s="542">
        <f t="shared" si="6"/>
        <v>8539896</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Input!$GK$7</f>
        <v>0</v>
      </c>
      <c r="E37" s="355">
        <f>Input!$GL$7</f>
        <v>0</v>
      </c>
      <c r="F37" s="355">
        <f>Input!$GM$7</f>
        <v>0</v>
      </c>
      <c r="G37" s="355">
        <f>Input!$GN$7</f>
        <v>0</v>
      </c>
      <c r="H37" s="355">
        <f>Input!$GO$7</f>
        <v>0</v>
      </c>
      <c r="I37" s="355">
        <f>Input!$GP$7</f>
        <v>0</v>
      </c>
      <c r="J37" s="355">
        <f>Input!$GQ$7</f>
        <v>0</v>
      </c>
      <c r="K37" s="355">
        <f>Input!$GR$7</f>
        <v>0</v>
      </c>
      <c r="L37" s="355">
        <f>Input!$GS$7</f>
        <v>0</v>
      </c>
      <c r="M37" s="543">
        <f t="shared" si="6"/>
        <v>0</v>
      </c>
      <c r="O37" s="51"/>
      <c r="U37" s="538" t="s">
        <v>1054</v>
      </c>
      <c r="V37" s="296"/>
      <c r="W37" s="296"/>
      <c r="X37" s="426">
        <f>(M25+M38)*-1</f>
        <v>0</v>
      </c>
      <c r="Y37" s="626"/>
    </row>
    <row r="38" spans="1:28" s="50" customFormat="1">
      <c r="A38" s="293"/>
      <c r="B38" s="51" t="s">
        <v>644</v>
      </c>
      <c r="C38" s="180"/>
      <c r="D38" s="355">
        <f>Input!$GT$7</f>
        <v>0</v>
      </c>
      <c r="E38" s="355">
        <f>Input!$GU$7</f>
        <v>0</v>
      </c>
      <c r="F38" s="355">
        <f>Input!$GV$7</f>
        <v>0</v>
      </c>
      <c r="G38" s="355">
        <f>Input!$GW$7</f>
        <v>0</v>
      </c>
      <c r="H38" s="355">
        <f>Input!$GX$7</f>
        <v>0</v>
      </c>
      <c r="I38" s="355">
        <f>Input!$GY$7</f>
        <v>0</v>
      </c>
      <c r="J38" s="355">
        <f>Input!$GZ$7</f>
        <v>0</v>
      </c>
      <c r="K38" s="355">
        <f>Input!$HA$7</f>
        <v>0</v>
      </c>
      <c r="L38" s="355">
        <f>Input!$HB$7</f>
        <v>0</v>
      </c>
      <c r="M38" s="543">
        <f t="shared" si="6"/>
        <v>0</v>
      </c>
      <c r="O38" s="51"/>
      <c r="U38" s="621" t="s">
        <v>1055</v>
      </c>
      <c r="V38" s="221"/>
      <c r="W38" s="221"/>
      <c r="X38" s="627">
        <f>SUM(X36:X37)</f>
        <v>0</v>
      </c>
      <c r="Y38" s="420"/>
    </row>
    <row r="39" spans="1:28" s="50" customFormat="1">
      <c r="A39" s="293"/>
      <c r="B39" s="51" t="s">
        <v>645</v>
      </c>
      <c r="C39" s="180"/>
      <c r="D39" s="355">
        <f>Input!$HC$7</f>
        <v>0</v>
      </c>
      <c r="E39" s="355">
        <f>Input!$HD$7</f>
        <v>0</v>
      </c>
      <c r="F39" s="355">
        <f>Input!$HE$7</f>
        <v>0</v>
      </c>
      <c r="G39" s="355">
        <f>Input!$HF$7</f>
        <v>0</v>
      </c>
      <c r="H39" s="355">
        <f>Input!$HG$7</f>
        <v>0</v>
      </c>
      <c r="I39" s="355">
        <f>Input!$HH$7</f>
        <v>0</v>
      </c>
      <c r="J39" s="355">
        <f>Input!$HI$7</f>
        <v>0</v>
      </c>
      <c r="K39" s="355">
        <f>Input!$HJ$7</f>
        <v>0</v>
      </c>
      <c r="L39" s="355">
        <f>Input!$HK$7</f>
        <v>0</v>
      </c>
      <c r="M39" s="543">
        <f t="shared" si="6"/>
        <v>0</v>
      </c>
      <c r="O39" s="51"/>
      <c r="U39" s="538" t="s">
        <v>1007</v>
      </c>
      <c r="V39" s="296"/>
      <c r="W39" s="296"/>
      <c r="X39" s="347"/>
      <c r="Y39" s="420">
        <f>X38+X35</f>
        <v>1266179</v>
      </c>
    </row>
    <row r="40" spans="1:28" s="50" customFormat="1">
      <c r="A40" s="293"/>
      <c r="B40" s="51" t="s">
        <v>646</v>
      </c>
      <c r="C40" s="180"/>
      <c r="D40" s="355">
        <f>Input!$HL$7</f>
        <v>0</v>
      </c>
      <c r="E40" s="355">
        <f>Input!$HM$7</f>
        <v>0</v>
      </c>
      <c r="F40" s="355">
        <f>Input!$HN$7</f>
        <v>0</v>
      </c>
      <c r="G40" s="355">
        <f>Input!$HO$7</f>
        <v>0</v>
      </c>
      <c r="H40" s="355">
        <f>Input!$HP$7</f>
        <v>0</v>
      </c>
      <c r="I40" s="355">
        <f>Input!$HQ$7</f>
        <v>0</v>
      </c>
      <c r="J40" s="355">
        <f>Input!$HR$7</f>
        <v>0</v>
      </c>
      <c r="K40" s="355">
        <f>Input!$HS$7</f>
        <v>0</v>
      </c>
      <c r="L40" s="355">
        <f>Input!$HT$7</f>
        <v>0</v>
      </c>
      <c r="M40" s="543">
        <f t="shared" si="6"/>
        <v>0</v>
      </c>
      <c r="O40" s="51"/>
      <c r="U40" s="538"/>
      <c r="V40" s="51"/>
      <c r="W40" s="51"/>
      <c r="X40" s="51"/>
      <c r="Y40" s="626"/>
    </row>
    <row r="41" spans="1:28" s="50" customFormat="1">
      <c r="A41" s="293"/>
      <c r="B41" s="51" t="s">
        <v>1361</v>
      </c>
      <c r="C41" s="180"/>
      <c r="D41" s="355">
        <f>Input!$HU$7</f>
        <v>-33874</v>
      </c>
      <c r="E41" s="355">
        <f>Input!$HV$7</f>
        <v>-220027</v>
      </c>
      <c r="F41" s="355">
        <f>Input!$HW$7</f>
        <v>-7095</v>
      </c>
      <c r="G41" s="355">
        <f>Input!$HX$7</f>
        <v>0</v>
      </c>
      <c r="H41" s="355">
        <f>Input!$HY$7</f>
        <v>0</v>
      </c>
      <c r="I41" s="355">
        <f>Input!$HZ$7</f>
        <v>0</v>
      </c>
      <c r="J41" s="355">
        <f>Input!$IA$7</f>
        <v>0</v>
      </c>
      <c r="K41" s="355">
        <f>Input!$IB$7</f>
        <v>0</v>
      </c>
      <c r="L41" s="355">
        <f>Input!$IC$7</f>
        <v>0</v>
      </c>
      <c r="M41" s="543">
        <f t="shared" si="6"/>
        <v>-260996</v>
      </c>
      <c r="O41"/>
      <c r="P41"/>
      <c r="Q41"/>
      <c r="R41"/>
      <c r="S41"/>
      <c r="U41" s="538" t="s">
        <v>1046</v>
      </c>
      <c r="V41" s="296"/>
      <c r="W41" s="296"/>
      <c r="X41" s="326">
        <f>(M21+M34)*-1</f>
        <v>0</v>
      </c>
      <c r="Y41" s="420"/>
    </row>
    <row r="42" spans="1:28" s="50" customFormat="1">
      <c r="A42" s="293"/>
      <c r="B42" s="551" t="s">
        <v>38</v>
      </c>
      <c r="C42" s="179"/>
      <c r="D42" s="356">
        <f t="shared" ref="D42:L42" si="7">SUM(D36:D41)</f>
        <v>443416</v>
      </c>
      <c r="E42" s="356">
        <f t="shared" si="7"/>
        <v>7301062</v>
      </c>
      <c r="F42" s="356">
        <f t="shared" si="7"/>
        <v>534422</v>
      </c>
      <c r="G42" s="356">
        <f t="shared" si="7"/>
        <v>0</v>
      </c>
      <c r="H42" s="356">
        <f t="shared" si="7"/>
        <v>0</v>
      </c>
      <c r="I42" s="356">
        <f t="shared" si="7"/>
        <v>0</v>
      </c>
      <c r="J42" s="356">
        <f t="shared" si="7"/>
        <v>0</v>
      </c>
      <c r="K42" s="356">
        <f t="shared" si="7"/>
        <v>0</v>
      </c>
      <c r="L42" s="356">
        <f t="shared" si="7"/>
        <v>0</v>
      </c>
      <c r="M42" s="356">
        <f t="shared" si="6"/>
        <v>8278900</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12669091</v>
      </c>
      <c r="E44" s="356">
        <f t="shared" si="8"/>
        <v>28165449</v>
      </c>
      <c r="F44" s="356">
        <f t="shared" si="8"/>
        <v>534422</v>
      </c>
      <c r="G44" s="356">
        <f t="shared" si="8"/>
        <v>0</v>
      </c>
      <c r="H44" s="356">
        <f t="shared" si="8"/>
        <v>0</v>
      </c>
      <c r="I44" s="356">
        <f t="shared" si="8"/>
        <v>0</v>
      </c>
      <c r="J44" s="356">
        <f t="shared" si="8"/>
        <v>0</v>
      </c>
      <c r="K44" s="356">
        <f t="shared" si="8"/>
        <v>0</v>
      </c>
      <c r="L44" s="356">
        <f t="shared" si="8"/>
        <v>0</v>
      </c>
      <c r="M44" s="356">
        <f>D44+E44+F44+G44+H44+I44+J44+K44+L44</f>
        <v>41368962</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Input!$ID$7</f>
        <v>0</v>
      </c>
      <c r="E47" s="358">
        <f>Input!$IE$7</f>
        <v>33605469</v>
      </c>
      <c r="F47" s="358">
        <f>Input!$IF$7</f>
        <v>0</v>
      </c>
      <c r="G47" s="358">
        <f>Input!$IG$7</f>
        <v>96491208</v>
      </c>
      <c r="H47" s="358">
        <f>Input!$IH$7</f>
        <v>0</v>
      </c>
      <c r="I47" s="358">
        <f>Input!$II$7</f>
        <v>0</v>
      </c>
      <c r="J47" s="358">
        <f>Input!$IJ$7</f>
        <v>-352845</v>
      </c>
      <c r="K47" s="358">
        <f>Input!$IK$7</f>
        <v>0</v>
      </c>
      <c r="L47" s="358">
        <f>Input!$IL$7</f>
        <v>0</v>
      </c>
      <c r="M47" s="356">
        <f>D47+E47+F47+G47+H47+I47+J47+K47+L47</f>
        <v>129743832</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45341405</v>
      </c>
      <c r="Z49" s="50"/>
      <c r="AA49" s="50"/>
      <c r="AB49" s="50"/>
    </row>
    <row r="50" spans="1:28" s="149" customFormat="1">
      <c r="A50" s="147">
        <v>33</v>
      </c>
      <c r="B50" s="158" t="s">
        <v>56</v>
      </c>
      <c r="C50" s="158"/>
      <c r="D50" s="358">
        <f>Input!$IM$7</f>
        <v>0</v>
      </c>
      <c r="E50" s="358">
        <f>Input!$IN$7</f>
        <v>199548093</v>
      </c>
      <c r="F50" s="358">
        <f>Input!$IO$7</f>
        <v>0</v>
      </c>
      <c r="G50" s="358">
        <f>Input!$IP$7</f>
        <v>0</v>
      </c>
      <c r="H50" s="358">
        <f>Input!$IQ$7</f>
        <v>0</v>
      </c>
      <c r="I50" s="358">
        <f>Input!$IR$7</f>
        <v>0</v>
      </c>
      <c r="J50" s="358">
        <f>Input!$IS$7</f>
        <v>0</v>
      </c>
      <c r="K50" s="358">
        <f>Input!$IT$7</f>
        <v>0</v>
      </c>
      <c r="L50" s="358">
        <f>Input!$IU$7</f>
        <v>0</v>
      </c>
      <c r="M50" s="356">
        <f>D50+E50+F50+G50+H50+I50+J50+K50+L50</f>
        <v>199548093</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Input!$IV$7</f>
        <v>622743743</v>
      </c>
      <c r="E53" s="358">
        <f>Input!$IW$7</f>
        <v>571689453</v>
      </c>
      <c r="F53" s="358">
        <f>Input!$IX$7</f>
        <v>0</v>
      </c>
      <c r="G53" s="358">
        <f>Input!$IY$7</f>
        <v>0</v>
      </c>
      <c r="H53" s="358">
        <f>Input!$IZ$7</f>
        <v>0</v>
      </c>
      <c r="I53" s="358">
        <f>Input!$JA$7</f>
        <v>0</v>
      </c>
      <c r="J53" s="358">
        <f>Input!$JB$7</f>
        <v>0</v>
      </c>
      <c r="K53" s="358">
        <f>Input!$JC$7</f>
        <v>0</v>
      </c>
      <c r="L53" s="358">
        <f>Input!$JD$7</f>
        <v>0</v>
      </c>
      <c r="M53" s="356">
        <f>D53+E53+F53+G53+H53+I53+J53+K53+L53</f>
        <v>1194433196</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Input!$JE$7</f>
        <v>3096861</v>
      </c>
      <c r="E56" s="355">
        <f>Input!$JF$7</f>
        <v>30933411</v>
      </c>
      <c r="F56" s="355">
        <f>Input!$JG$7</f>
        <v>0</v>
      </c>
      <c r="G56" s="355">
        <f>Input!$JH$7</f>
        <v>25439577</v>
      </c>
      <c r="H56" s="355">
        <f>Input!$JI$7</f>
        <v>71008</v>
      </c>
      <c r="I56" s="355">
        <f>Input!$JJ$7</f>
        <v>805334</v>
      </c>
      <c r="J56" s="355">
        <f>Input!$JK$7</f>
        <v>3094</v>
      </c>
      <c r="K56" s="355">
        <f>Input!$JL$7</f>
        <v>0</v>
      </c>
      <c r="L56" s="355">
        <f>Input!$JM$7</f>
        <v>0</v>
      </c>
      <c r="M56" s="357">
        <f t="shared" ref="M56:M62" si="9">D56+E56+F56+G56+H56+I56+J56+K56+L56</f>
        <v>60349285</v>
      </c>
      <c r="O56" s="51"/>
      <c r="P56" s="50"/>
      <c r="Q56" s="50"/>
      <c r="R56" s="50"/>
      <c r="S56" s="50"/>
      <c r="T56" s="50"/>
      <c r="U56" s="50"/>
      <c r="V56" s="50"/>
      <c r="W56" s="50"/>
      <c r="X56" s="306"/>
      <c r="Y56" s="50"/>
      <c r="Z56" s="50"/>
      <c r="AA56" s="50"/>
      <c r="AB56" s="50"/>
    </row>
    <row r="57" spans="1:28" s="149" customFormat="1">
      <c r="A57" s="147">
        <v>40</v>
      </c>
      <c r="B57" s="149" t="s">
        <v>9</v>
      </c>
      <c r="D57" s="355">
        <f>Input!$JN$7</f>
        <v>15000</v>
      </c>
      <c r="E57" s="355">
        <f>Input!$JO$7</f>
        <v>554766</v>
      </c>
      <c r="F57" s="355">
        <f>Input!$JP$7</f>
        <v>0</v>
      </c>
      <c r="G57" s="355">
        <f>Input!$JQ$7</f>
        <v>476501</v>
      </c>
      <c r="H57" s="355">
        <f>Input!$JR$7</f>
        <v>0</v>
      </c>
      <c r="I57" s="355">
        <f>Input!$JS$7</f>
        <v>0</v>
      </c>
      <c r="J57" s="355">
        <f>Input!$JT$7</f>
        <v>0</v>
      </c>
      <c r="K57" s="355">
        <f>Input!$JU$7</f>
        <v>0</v>
      </c>
      <c r="L57" s="355">
        <f>Input!$JV$7</f>
        <v>0</v>
      </c>
      <c r="M57" s="357">
        <f t="shared" si="9"/>
        <v>1046267</v>
      </c>
      <c r="O57" s="50"/>
      <c r="P57" s="307"/>
      <c r="Q57" s="50"/>
      <c r="R57" s="50"/>
      <c r="S57" s="50"/>
      <c r="T57" s="50"/>
      <c r="U57" s="50"/>
      <c r="V57" s="50"/>
      <c r="W57" s="50"/>
      <c r="X57" s="50"/>
      <c r="Y57" s="50"/>
      <c r="Z57" s="50"/>
      <c r="AA57" s="50"/>
      <c r="AB57" s="50"/>
    </row>
    <row r="58" spans="1:28" s="149" customFormat="1">
      <c r="A58" s="147">
        <v>41</v>
      </c>
      <c r="B58" s="149" t="s">
        <v>10</v>
      </c>
      <c r="D58" s="355">
        <f>Input!$JW$7</f>
        <v>1693912</v>
      </c>
      <c r="E58" s="355">
        <f>Input!$JX$7</f>
        <v>46363708</v>
      </c>
      <c r="F58" s="355">
        <f>Input!$JY$7</f>
        <v>490621</v>
      </c>
      <c r="G58" s="355">
        <f>Input!$JZ$7</f>
        <v>22714017</v>
      </c>
      <c r="H58" s="355">
        <f>Input!$KA$7</f>
        <v>0</v>
      </c>
      <c r="I58" s="355">
        <f>Input!$KB$7</f>
        <v>0</v>
      </c>
      <c r="J58" s="355">
        <f>Input!$KC$7</f>
        <v>62260041</v>
      </c>
      <c r="K58" s="355">
        <f>Input!$KD$7</f>
        <v>0</v>
      </c>
      <c r="L58" s="355">
        <f>Input!$KE$7</f>
        <v>0</v>
      </c>
      <c r="M58" s="357">
        <f t="shared" si="9"/>
        <v>133522299</v>
      </c>
      <c r="O58" s="302"/>
      <c r="P58" s="50"/>
      <c r="Q58" s="50"/>
      <c r="R58" s="50"/>
      <c r="S58" s="50"/>
      <c r="T58" s="50"/>
      <c r="U58" s="50"/>
      <c r="V58" s="50"/>
      <c r="W58" s="50"/>
      <c r="X58" s="50"/>
      <c r="Y58" s="50"/>
      <c r="Z58" s="50"/>
      <c r="AA58" s="50"/>
      <c r="AB58" s="50"/>
    </row>
    <row r="59" spans="1:28" s="149" customFormat="1" ht="13.5" thickBot="1">
      <c r="A59" s="147">
        <v>42</v>
      </c>
      <c r="B59" s="149" t="s">
        <v>54</v>
      </c>
      <c r="D59" s="355">
        <f>Input!$KF$7</f>
        <v>0</v>
      </c>
      <c r="E59" s="355">
        <f>Input!$KG$7</f>
        <v>2335193</v>
      </c>
      <c r="F59" s="355">
        <f>Input!$KH$7</f>
        <v>0</v>
      </c>
      <c r="G59" s="355">
        <f>Input!$KI$7</f>
        <v>11116622</v>
      </c>
      <c r="H59" s="355">
        <f>Input!$KJ$7</f>
        <v>0</v>
      </c>
      <c r="I59" s="355">
        <f>Input!$KK$7</f>
        <v>0</v>
      </c>
      <c r="J59" s="355">
        <f>Input!$KL$7</f>
        <v>0</v>
      </c>
      <c r="K59" s="355">
        <f>Input!$KM$7</f>
        <v>0</v>
      </c>
      <c r="L59" s="355">
        <f>Input!$KN$7</f>
        <v>0</v>
      </c>
      <c r="M59" s="357">
        <f t="shared" si="9"/>
        <v>13451815</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Input!$KO$7</f>
        <v>0</v>
      </c>
      <c r="E60" s="355">
        <f>Input!$KP$7</f>
        <v>0</v>
      </c>
      <c r="F60" s="355">
        <f>Input!$KQ$7</f>
        <v>12933001</v>
      </c>
      <c r="G60" s="355">
        <f>Input!$KR$7</f>
        <v>0</v>
      </c>
      <c r="H60" s="355">
        <f>Input!$KS$7</f>
        <v>0</v>
      </c>
      <c r="I60" s="355">
        <f>Input!$KT$7</f>
        <v>0</v>
      </c>
      <c r="J60" s="355">
        <f>Input!$KU$7</f>
        <v>0</v>
      </c>
      <c r="K60" s="355">
        <f>Input!$KV$7</f>
        <v>0</v>
      </c>
      <c r="L60" s="355">
        <f>Input!$KW$7</f>
        <v>0</v>
      </c>
      <c r="M60" s="357">
        <f t="shared" si="9"/>
        <v>12933001</v>
      </c>
      <c r="O60" s="1315" t="s">
        <v>177</v>
      </c>
      <c r="P60" s="1316"/>
      <c r="Q60" s="1317"/>
      <c r="R60" s="1317"/>
      <c r="S60" s="1318"/>
      <c r="T60" s="308"/>
      <c r="U60" s="493"/>
      <c r="V60" s="308"/>
      <c r="W60" s="1288" t="s">
        <v>1241</v>
      </c>
      <c r="X60" s="1289"/>
      <c r="Y60" s="1290"/>
      <c r="Z60" s="309"/>
      <c r="AA60" s="309"/>
      <c r="AB60" s="309"/>
    </row>
    <row r="61" spans="1:28" s="149" customFormat="1" ht="13.5" customHeight="1" thickTop="1">
      <c r="A61" s="147">
        <v>44</v>
      </c>
      <c r="B61" s="149" t="s">
        <v>41</v>
      </c>
      <c r="D61" s="355">
        <f>Input!$KX$7</f>
        <v>28307704</v>
      </c>
      <c r="E61" s="355">
        <f>Input!$KY$7</f>
        <v>16890308</v>
      </c>
      <c r="F61" s="355">
        <f>Input!$KZ$7</f>
        <v>0</v>
      </c>
      <c r="G61" s="355">
        <f>Input!$LA$7</f>
        <v>1109291</v>
      </c>
      <c r="H61" s="355">
        <f>Input!$LB$7</f>
        <v>166051</v>
      </c>
      <c r="I61" s="355">
        <f>Input!$LC$7</f>
        <v>0</v>
      </c>
      <c r="J61" s="355">
        <f>Input!$LD$7</f>
        <v>11668456</v>
      </c>
      <c r="K61" s="355">
        <f>Input!$LE$7</f>
        <v>0</v>
      </c>
      <c r="L61" s="355">
        <f>Input!$LF$7</f>
        <v>-2187020</v>
      </c>
      <c r="M61" s="357">
        <f t="shared" si="9"/>
        <v>55954790</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33113477</v>
      </c>
      <c r="E62" s="356">
        <f t="shared" si="10"/>
        <v>97077386</v>
      </c>
      <c r="F62" s="356">
        <f t="shared" si="10"/>
        <v>13423622</v>
      </c>
      <c r="G62" s="356">
        <f t="shared" si="10"/>
        <v>60856008</v>
      </c>
      <c r="H62" s="356">
        <f t="shared" si="10"/>
        <v>237059</v>
      </c>
      <c r="I62" s="356">
        <f t="shared" si="10"/>
        <v>805334</v>
      </c>
      <c r="J62" s="356">
        <f t="shared" si="10"/>
        <v>73931591</v>
      </c>
      <c r="K62" s="356">
        <f t="shared" si="10"/>
        <v>0</v>
      </c>
      <c r="L62" s="356">
        <f t="shared" si="10"/>
        <v>-2187020</v>
      </c>
      <c r="M62" s="356">
        <f t="shared" si="9"/>
        <v>277257457</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1037991521</v>
      </c>
      <c r="E63" s="356">
        <f t="shared" ref="E63:M63" si="11">E15+E44+E47+E50+E53+E62</f>
        <v>930494443</v>
      </c>
      <c r="F63" s="356">
        <f t="shared" si="11"/>
        <v>13958044</v>
      </c>
      <c r="G63" s="356">
        <f t="shared" si="11"/>
        <v>167856513</v>
      </c>
      <c r="H63" s="356">
        <f t="shared" si="11"/>
        <v>237059</v>
      </c>
      <c r="I63" s="356">
        <f t="shared" si="11"/>
        <v>805334</v>
      </c>
      <c r="J63" s="356">
        <f t="shared" si="11"/>
        <v>73578746</v>
      </c>
      <c r="K63" s="356">
        <f t="shared" si="11"/>
        <v>0</v>
      </c>
      <c r="L63" s="356">
        <f t="shared" si="11"/>
        <v>-2187020</v>
      </c>
      <c r="M63" s="356">
        <f t="shared" si="11"/>
        <v>2222734640</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Input!$LG$7</f>
        <v>80955545</v>
      </c>
      <c r="E65" s="355">
        <f>Input!$LH$7</f>
        <v>238544220</v>
      </c>
      <c r="F65" s="355">
        <f>Input!$LI$7</f>
        <v>0</v>
      </c>
      <c r="G65" s="355">
        <f>Input!$LJ$7</f>
        <v>17710832</v>
      </c>
      <c r="H65" s="355">
        <f>Input!$LK$7</f>
        <v>0</v>
      </c>
      <c r="I65" s="355">
        <f>Input!$LL$7</f>
        <v>0</v>
      </c>
      <c r="J65" s="355">
        <f>Input!$LM$7</f>
        <v>0</v>
      </c>
      <c r="K65" s="355">
        <f>Input!$LN$7</f>
        <v>0</v>
      </c>
      <c r="L65" s="355">
        <f>Input!$LO$7</f>
        <v>0</v>
      </c>
      <c r="M65" s="357">
        <f t="shared" ref="M65:M77" si="12">D65+E65+F65+G65+H65+I65+J65+K65+L65</f>
        <v>337210597</v>
      </c>
      <c r="O65" s="310">
        <f>D65+E65+G65</f>
        <v>337210597</v>
      </c>
      <c r="P65" s="311">
        <f>Input!$TK$7</f>
        <v>351555</v>
      </c>
      <c r="Q65" s="311">
        <f>Input!$TU$7</f>
        <v>175165</v>
      </c>
      <c r="R65" s="311">
        <f>Input!$UD$7</f>
        <v>0</v>
      </c>
      <c r="S65" s="312">
        <f>O65+P65-Q65-R65</f>
        <v>337386987</v>
      </c>
      <c r="T65" s="313"/>
      <c r="U65" s="494">
        <f>D65+E65+F65+G65+J65</f>
        <v>337210597</v>
      </c>
      <c r="V65" s="313"/>
      <c r="W65" s="314" t="s">
        <v>14</v>
      </c>
      <c r="X65" s="487">
        <f>Input!$UO$7</f>
        <v>337210597</v>
      </c>
      <c r="Y65" s="315">
        <f t="shared" ref="Y65:Y74" si="13">X65-M65</f>
        <v>0</v>
      </c>
      <c r="Z65" s="313"/>
      <c r="AA65" s="313"/>
      <c r="AB65" s="313"/>
    </row>
    <row r="66" spans="1:28" s="149" customFormat="1" ht="14.25" thickTop="1" thickBot="1">
      <c r="A66" s="147">
        <v>49</v>
      </c>
      <c r="B66" s="161" t="s">
        <v>15</v>
      </c>
      <c r="C66" s="161"/>
      <c r="D66" s="355">
        <f>Input!$LP$7</f>
        <v>641805</v>
      </c>
      <c r="E66" s="355">
        <f>Input!$LQ$7</f>
        <v>16850570</v>
      </c>
      <c r="F66" s="355">
        <f>Input!$LR$7</f>
        <v>0</v>
      </c>
      <c r="G66" s="355">
        <f>Input!$LS$7</f>
        <v>93143395</v>
      </c>
      <c r="H66" s="355">
        <f>Input!$LT$7</f>
        <v>0</v>
      </c>
      <c r="I66" s="355">
        <f>Input!$LU$7</f>
        <v>0</v>
      </c>
      <c r="J66" s="355">
        <f>Input!$LV$7</f>
        <v>0</v>
      </c>
      <c r="K66" s="355">
        <f>Input!$LW$7</f>
        <v>0</v>
      </c>
      <c r="L66" s="355">
        <f>Input!$LX$7</f>
        <v>0</v>
      </c>
      <c r="M66" s="357">
        <f t="shared" si="12"/>
        <v>110635770</v>
      </c>
      <c r="O66" s="316">
        <f t="shared" ref="O66:O72" si="14">D66+E66+G66</f>
        <v>110635770</v>
      </c>
      <c r="P66" s="317">
        <f>Input!$TL$7</f>
        <v>4975629</v>
      </c>
      <c r="Q66" s="317">
        <f>Input!$TV$7</f>
        <v>1885465</v>
      </c>
      <c r="R66" s="317">
        <f>Input!$UE$7</f>
        <v>1031999</v>
      </c>
      <c r="S66" s="318">
        <f>O66+P66-Q66-R66</f>
        <v>112693935</v>
      </c>
      <c r="T66" s="313"/>
      <c r="U66" s="495">
        <f t="shared" ref="U66:U76" si="15">D66+E66+F66+G66+J66</f>
        <v>110635770</v>
      </c>
      <c r="V66" s="313"/>
      <c r="W66" s="314" t="s">
        <v>15</v>
      </c>
      <c r="X66" s="363">
        <f>Input!$UP$7</f>
        <v>110635770</v>
      </c>
      <c r="Y66" s="319">
        <f t="shared" si="13"/>
        <v>0</v>
      </c>
      <c r="Z66" s="320"/>
      <c r="AA66" s="320"/>
      <c r="AB66" s="320"/>
    </row>
    <row r="67" spans="1:28" s="149" customFormat="1" ht="13.5" thickTop="1">
      <c r="A67" s="147">
        <v>50</v>
      </c>
      <c r="B67" s="161" t="s">
        <v>16</v>
      </c>
      <c r="C67" s="161"/>
      <c r="D67" s="355">
        <f>Input!$LY$7</f>
        <v>1859209</v>
      </c>
      <c r="E67" s="355">
        <f>Input!$LZ$7</f>
        <v>3028303</v>
      </c>
      <c r="F67" s="355">
        <f>Input!$MA$7</f>
        <v>0</v>
      </c>
      <c r="G67" s="355">
        <f>Input!$MB$7</f>
        <v>13307813</v>
      </c>
      <c r="H67" s="355">
        <f>Input!$MC$7</f>
        <v>0</v>
      </c>
      <c r="I67" s="355">
        <f>Input!$MD$7</f>
        <v>0</v>
      </c>
      <c r="J67" s="355">
        <f>Input!$ME$7</f>
        <v>0</v>
      </c>
      <c r="K67" s="355">
        <f>Input!$MF$7</f>
        <v>0</v>
      </c>
      <c r="L67" s="355">
        <f>Input!$MG$7</f>
        <v>0</v>
      </c>
      <c r="M67" s="357">
        <f t="shared" si="12"/>
        <v>18195325</v>
      </c>
      <c r="O67" s="316">
        <f t="shared" si="14"/>
        <v>18195325</v>
      </c>
      <c r="P67" s="317">
        <f>Input!$TM$7</f>
        <v>0</v>
      </c>
      <c r="Q67" s="317">
        <f>Input!$TW$7</f>
        <v>0</v>
      </c>
      <c r="R67" s="317">
        <f>Input!$UF$7</f>
        <v>0</v>
      </c>
      <c r="S67" s="321">
        <f t="shared" ref="S67:S72" si="16">O67+P67-Q67-R67</f>
        <v>18195325</v>
      </c>
      <c r="T67" s="320"/>
      <c r="U67" s="495">
        <f t="shared" si="15"/>
        <v>18195325</v>
      </c>
      <c r="V67" s="320"/>
      <c r="W67" s="314" t="s">
        <v>16</v>
      </c>
      <c r="X67" s="363">
        <f>Input!$UQ$7</f>
        <v>18195325</v>
      </c>
      <c r="Y67" s="319">
        <f t="shared" si="13"/>
        <v>0</v>
      </c>
      <c r="Z67" s="320"/>
      <c r="AA67" s="320"/>
      <c r="AB67" s="320"/>
    </row>
    <row r="68" spans="1:28" s="149" customFormat="1">
      <c r="A68" s="147">
        <v>51</v>
      </c>
      <c r="B68" s="161" t="s">
        <v>55</v>
      </c>
      <c r="C68" s="161"/>
      <c r="D68" s="355">
        <f>Input!$MH$7</f>
        <v>643659271</v>
      </c>
      <c r="E68" s="355">
        <f>Input!$MI$7</f>
        <v>625199320</v>
      </c>
      <c r="F68" s="355">
        <f>Input!$MJ$7</f>
        <v>0</v>
      </c>
      <c r="G68" s="355">
        <f>Input!$MK$7</f>
        <v>21138824</v>
      </c>
      <c r="H68" s="355">
        <f>Input!$ML$7</f>
        <v>0</v>
      </c>
      <c r="I68" s="355">
        <f>Input!$MM$7</f>
        <v>0</v>
      </c>
      <c r="J68" s="355">
        <f>Input!$MN$7</f>
        <v>0</v>
      </c>
      <c r="K68" s="355">
        <f>Input!$MO$7</f>
        <v>0</v>
      </c>
      <c r="L68" s="355">
        <f>Input!$MP$7</f>
        <v>0</v>
      </c>
      <c r="M68" s="357">
        <f t="shared" si="12"/>
        <v>1289997415</v>
      </c>
      <c r="O68" s="316">
        <f t="shared" si="14"/>
        <v>1289997415</v>
      </c>
      <c r="P68" s="317">
        <f>Input!$TN$7</f>
        <v>742578</v>
      </c>
      <c r="Q68" s="317">
        <f>Input!$TX$7</f>
        <v>0</v>
      </c>
      <c r="R68" s="317">
        <f>Input!$UG$7</f>
        <v>0</v>
      </c>
      <c r="S68" s="321">
        <f t="shared" si="16"/>
        <v>1290739993</v>
      </c>
      <c r="T68" s="320"/>
      <c r="U68" s="495">
        <f t="shared" si="15"/>
        <v>1289997415</v>
      </c>
      <c r="V68" s="320"/>
      <c r="W68" s="314" t="s">
        <v>55</v>
      </c>
      <c r="X68" s="363">
        <f>Input!$UR$7</f>
        <v>1289997415</v>
      </c>
      <c r="Y68" s="319">
        <f t="shared" si="13"/>
        <v>0</v>
      </c>
      <c r="Z68" s="320"/>
      <c r="AA68" s="320"/>
      <c r="AB68" s="320"/>
    </row>
    <row r="69" spans="1:28" s="149" customFormat="1">
      <c r="A69" s="147">
        <v>52</v>
      </c>
      <c r="B69" s="161" t="s">
        <v>17</v>
      </c>
      <c r="C69" s="161"/>
      <c r="D69" s="355">
        <f>Input!$MQ$7</f>
        <v>18681497</v>
      </c>
      <c r="E69" s="355">
        <f>Input!$MR$7</f>
        <v>15456785</v>
      </c>
      <c r="F69" s="355">
        <f>Input!$MS$7</f>
        <v>0</v>
      </c>
      <c r="G69" s="355">
        <f>Input!$MT$7</f>
        <v>1121481</v>
      </c>
      <c r="H69" s="355">
        <f>Input!$MU$7</f>
        <v>0</v>
      </c>
      <c r="I69" s="355">
        <f>Input!$MV$7</f>
        <v>0</v>
      </c>
      <c r="J69" s="355">
        <f>Input!$MW$7</f>
        <v>0</v>
      </c>
      <c r="K69" s="355">
        <f>Input!$MX$7</f>
        <v>0</v>
      </c>
      <c r="L69" s="355">
        <f>Input!$MY$7</f>
        <v>0</v>
      </c>
      <c r="M69" s="357">
        <f t="shared" si="12"/>
        <v>35259763</v>
      </c>
      <c r="O69" s="316">
        <f t="shared" si="14"/>
        <v>35259763</v>
      </c>
      <c r="P69" s="317">
        <f>Input!$TO$7</f>
        <v>7180</v>
      </c>
      <c r="Q69" s="317">
        <f>Input!$TY$7</f>
        <v>0</v>
      </c>
      <c r="R69" s="317">
        <f>Input!$UH$7</f>
        <v>0</v>
      </c>
      <c r="S69" s="321">
        <f t="shared" si="16"/>
        <v>35266943</v>
      </c>
      <c r="T69" s="320"/>
      <c r="U69" s="495">
        <f t="shared" si="15"/>
        <v>35259763</v>
      </c>
      <c r="V69" s="320"/>
      <c r="W69" s="314" t="s">
        <v>17</v>
      </c>
      <c r="X69" s="363">
        <f>Input!$US$7</f>
        <v>35259763</v>
      </c>
      <c r="Y69" s="319">
        <f t="shared" si="13"/>
        <v>0</v>
      </c>
      <c r="Z69" s="320"/>
      <c r="AA69" s="320"/>
      <c r="AB69" s="320"/>
    </row>
    <row r="70" spans="1:28" s="149" customFormat="1">
      <c r="A70" s="147">
        <v>53</v>
      </c>
      <c r="B70" s="161" t="s">
        <v>18</v>
      </c>
      <c r="C70" s="161"/>
      <c r="D70" s="355">
        <f>Input!$MZ$7</f>
        <v>4366417</v>
      </c>
      <c r="E70" s="355">
        <f>Input!$NA$7</f>
        <v>2015003</v>
      </c>
      <c r="F70" s="355">
        <f>Input!$NB$7</f>
        <v>0</v>
      </c>
      <c r="G70" s="355">
        <f>Input!$NC$7</f>
        <v>335063</v>
      </c>
      <c r="H70" s="355">
        <f>Input!$ND$7</f>
        <v>2000</v>
      </c>
      <c r="I70" s="355">
        <f>Input!$NE$7</f>
        <v>0</v>
      </c>
      <c r="J70" s="355">
        <f>Input!$NF$7</f>
        <v>0</v>
      </c>
      <c r="K70" s="355">
        <f>Input!$NG$7</f>
        <v>0</v>
      </c>
      <c r="L70" s="355">
        <f>Input!$NH$7</f>
        <v>0</v>
      </c>
      <c r="M70" s="357">
        <f t="shared" si="12"/>
        <v>6718483</v>
      </c>
      <c r="O70" s="316">
        <f t="shared" si="14"/>
        <v>6716483</v>
      </c>
      <c r="P70" s="317">
        <f>Input!$TP$7</f>
        <v>0</v>
      </c>
      <c r="Q70" s="317">
        <f>Input!$TZ$7</f>
        <v>0</v>
      </c>
      <c r="R70" s="317">
        <f>Input!$UI$7</f>
        <v>0</v>
      </c>
      <c r="S70" s="321">
        <f t="shared" si="16"/>
        <v>6716483</v>
      </c>
      <c r="T70" s="320"/>
      <c r="U70" s="495">
        <f t="shared" si="15"/>
        <v>6716483</v>
      </c>
      <c r="V70" s="320"/>
      <c r="W70" s="314" t="s">
        <v>18</v>
      </c>
      <c r="X70" s="363">
        <f>Input!$UT$7</f>
        <v>6718483</v>
      </c>
      <c r="Y70" s="319">
        <f t="shared" si="13"/>
        <v>0</v>
      </c>
      <c r="Z70" s="320"/>
      <c r="AA70" s="320"/>
      <c r="AB70" s="320"/>
    </row>
    <row r="71" spans="1:28" s="149" customFormat="1">
      <c r="A71" s="147">
        <v>54</v>
      </c>
      <c r="B71" s="161" t="s">
        <v>19</v>
      </c>
      <c r="C71" s="161"/>
      <c r="D71" s="355">
        <f>Input!$NI$7</f>
        <v>59528608</v>
      </c>
      <c r="E71" s="355">
        <f>Input!$NJ$7</f>
        <v>25859227</v>
      </c>
      <c r="F71" s="355">
        <f>Input!$NK$7</f>
        <v>0</v>
      </c>
      <c r="G71" s="355">
        <f>Input!$NL$7</f>
        <v>1702703</v>
      </c>
      <c r="H71" s="355">
        <f>Input!$NM$7</f>
        <v>0</v>
      </c>
      <c r="I71" s="355">
        <f>Input!$NN$7</f>
        <v>0</v>
      </c>
      <c r="J71" s="355">
        <f>Input!$NO$7</f>
        <v>0</v>
      </c>
      <c r="K71" s="355">
        <f>Input!$NP$7</f>
        <v>0</v>
      </c>
      <c r="L71" s="355">
        <f>Input!$NQ$7</f>
        <v>0</v>
      </c>
      <c r="M71" s="357">
        <f t="shared" si="12"/>
        <v>87090538</v>
      </c>
      <c r="O71" s="316">
        <f t="shared" si="14"/>
        <v>87090538</v>
      </c>
      <c r="P71" s="317">
        <f>Input!$TQ$7</f>
        <v>1738570</v>
      </c>
      <c r="Q71" s="317">
        <f>Input!$UA$7</f>
        <v>0</v>
      </c>
      <c r="R71" s="317">
        <f>Input!$UJ$7</f>
        <v>0</v>
      </c>
      <c r="S71" s="321">
        <f t="shared" si="16"/>
        <v>88829108</v>
      </c>
      <c r="T71" s="320"/>
      <c r="U71" s="495">
        <f t="shared" si="15"/>
        <v>87090538</v>
      </c>
      <c r="V71" s="320"/>
      <c r="W71" s="314" t="s">
        <v>19</v>
      </c>
      <c r="X71" s="363">
        <f>Input!$UU$7</f>
        <v>87090538</v>
      </c>
      <c r="Y71" s="319">
        <f t="shared" si="13"/>
        <v>0</v>
      </c>
      <c r="Z71" s="320"/>
      <c r="AA71" s="320"/>
      <c r="AB71" s="320"/>
    </row>
    <row r="72" spans="1:28" s="149" customFormat="1">
      <c r="A72" s="147">
        <v>55</v>
      </c>
      <c r="B72" s="161" t="s">
        <v>20</v>
      </c>
      <c r="C72" s="161"/>
      <c r="D72" s="355">
        <f>Input!$NR$7</f>
        <v>40654062</v>
      </c>
      <c r="E72" s="355">
        <f>Input!$NS$7</f>
        <v>5968890</v>
      </c>
      <c r="F72" s="355">
        <f>Input!$NT$7</f>
        <v>0</v>
      </c>
      <c r="G72" s="355">
        <f>Input!$NU$7</f>
        <v>3903329</v>
      </c>
      <c r="H72" s="355">
        <f>Input!$NV$7</f>
        <v>0</v>
      </c>
      <c r="I72" s="355">
        <f>Input!$NW$7</f>
        <v>0</v>
      </c>
      <c r="J72" s="355">
        <f>Input!$NX$7</f>
        <v>8529794</v>
      </c>
      <c r="K72" s="355">
        <f>Input!$NY$7</f>
        <v>0</v>
      </c>
      <c r="L72" s="355">
        <f>Input!$NZ$7</f>
        <v>0</v>
      </c>
      <c r="M72" s="357">
        <f t="shared" si="12"/>
        <v>59056075</v>
      </c>
      <c r="O72" s="316">
        <f t="shared" si="14"/>
        <v>50526281</v>
      </c>
      <c r="P72" s="317">
        <f>Input!$TR$7</f>
        <v>10788083</v>
      </c>
      <c r="Q72" s="317">
        <f>Input!$UB$7</f>
        <v>0</v>
      </c>
      <c r="R72" s="317">
        <f>Input!$UK$7</f>
        <v>0</v>
      </c>
      <c r="S72" s="321">
        <f t="shared" si="16"/>
        <v>61314364</v>
      </c>
      <c r="T72" s="320"/>
      <c r="U72" s="495">
        <f t="shared" si="15"/>
        <v>59056075</v>
      </c>
      <c r="V72" s="320"/>
      <c r="W72" s="314" t="s">
        <v>184</v>
      </c>
      <c r="X72" s="363">
        <f>Input!$UV$7</f>
        <v>59056075</v>
      </c>
      <c r="Y72" s="319">
        <f t="shared" si="13"/>
        <v>0</v>
      </c>
      <c r="Z72" s="320"/>
      <c r="AA72" s="320"/>
      <c r="AB72" s="320"/>
    </row>
    <row r="73" spans="1:28" s="149" customFormat="1" ht="13.5" thickBot="1">
      <c r="A73" s="147">
        <v>56</v>
      </c>
      <c r="B73" s="161" t="s">
        <v>21</v>
      </c>
      <c r="C73" s="161"/>
      <c r="D73" s="355">
        <f>Input!$OA$7</f>
        <v>30000</v>
      </c>
      <c r="E73" s="355">
        <f>Input!$OB$7</f>
        <v>2083250</v>
      </c>
      <c r="F73" s="355">
        <f>Input!$OC$7</f>
        <v>0</v>
      </c>
      <c r="G73" s="355">
        <f>Input!$OD$7</f>
        <v>5900057</v>
      </c>
      <c r="H73" s="355">
        <f>Input!$OE$7</f>
        <v>0</v>
      </c>
      <c r="I73" s="355">
        <f>Input!$OF$7</f>
        <v>0</v>
      </c>
      <c r="J73" s="355">
        <f>Input!$OG$7</f>
        <v>0</v>
      </c>
      <c r="K73" s="355">
        <f>Input!$OH$7</f>
        <v>0</v>
      </c>
      <c r="L73" s="355">
        <f>Input!$OI$7</f>
        <v>0</v>
      </c>
      <c r="M73" s="357">
        <f t="shared" si="12"/>
        <v>8013307</v>
      </c>
      <c r="O73" s="322">
        <f>D73+E73+G73</f>
        <v>8013307</v>
      </c>
      <c r="P73" s="317">
        <f>Input!$TS$7</f>
        <v>37871</v>
      </c>
      <c r="Q73" s="323">
        <f>Input!$UC$7</f>
        <v>0</v>
      </c>
      <c r="R73" s="323">
        <f>Input!$UL$7</f>
        <v>0</v>
      </c>
      <c r="S73" s="324">
        <f>O73+P73-Q73-R73</f>
        <v>8051178</v>
      </c>
      <c r="T73" s="325"/>
      <c r="U73" s="495">
        <f t="shared" si="15"/>
        <v>8013307</v>
      </c>
      <c r="V73" s="325"/>
      <c r="W73" s="314" t="s">
        <v>21</v>
      </c>
      <c r="X73" s="363">
        <f>Input!$UW$7</f>
        <v>8013307</v>
      </c>
      <c r="Y73" s="319">
        <f t="shared" si="13"/>
        <v>0</v>
      </c>
      <c r="Z73" s="320"/>
      <c r="AA73" s="320"/>
      <c r="AB73" s="320"/>
    </row>
    <row r="74" spans="1:28" s="149" customFormat="1" ht="13.5" thickTop="1">
      <c r="A74" s="147">
        <v>57</v>
      </c>
      <c r="B74" s="161" t="s">
        <v>1363</v>
      </c>
      <c r="C74" s="161"/>
      <c r="D74" s="355">
        <f>Input!$OJ$7</f>
        <v>0</v>
      </c>
      <c r="E74" s="355">
        <f>Input!$OK$7</f>
        <v>225327</v>
      </c>
      <c r="F74" s="355">
        <f>Input!$OL$7</f>
        <v>11353676</v>
      </c>
      <c r="G74" s="355">
        <f>Input!$OM$7</f>
        <v>356902</v>
      </c>
      <c r="H74" s="355">
        <f>Input!$ON$7</f>
        <v>0</v>
      </c>
      <c r="I74" s="355">
        <f>Input!$OO$7</f>
        <v>0</v>
      </c>
      <c r="J74" s="355">
        <f>Input!$OP$7</f>
        <v>0</v>
      </c>
      <c r="K74" s="355">
        <f>Input!$OQ$7</f>
        <v>0</v>
      </c>
      <c r="L74" s="355">
        <f>Input!$OR$7</f>
        <v>0</v>
      </c>
      <c r="M74" s="357">
        <f t="shared" si="12"/>
        <v>11935905</v>
      </c>
      <c r="O74" s="326"/>
      <c r="P74" s="858">
        <f>Input!$TT$7</f>
        <v>0</v>
      </c>
      <c r="Q74" s="327"/>
      <c r="R74" s="328"/>
      <c r="S74" s="329">
        <f>SUM(S65:S73)</f>
        <v>1959194316</v>
      </c>
      <c r="T74" s="328"/>
      <c r="U74" s="495">
        <f t="shared" si="15"/>
        <v>11935905</v>
      </c>
      <c r="V74" s="328"/>
      <c r="W74" s="314" t="s">
        <v>22</v>
      </c>
      <c r="X74" s="363">
        <f>Input!$UX$7</f>
        <v>11935905</v>
      </c>
      <c r="Y74" s="319">
        <f t="shared" si="13"/>
        <v>0</v>
      </c>
      <c r="Z74" s="320"/>
      <c r="AA74" s="320"/>
      <c r="AB74" s="320"/>
    </row>
    <row r="75" spans="1:28" s="149" customFormat="1">
      <c r="A75" s="147">
        <v>58</v>
      </c>
      <c r="B75" s="162" t="s">
        <v>62</v>
      </c>
      <c r="C75" s="162"/>
      <c r="D75" s="355">
        <f>Input!$OS$7</f>
        <v>5903138</v>
      </c>
      <c r="E75" s="355">
        <f>Input!$OT$7</f>
        <v>8330591</v>
      </c>
      <c r="F75" s="355">
        <f>Input!$OU$7</f>
        <v>0</v>
      </c>
      <c r="G75" s="355">
        <f>Input!$OV$7</f>
        <v>4407737</v>
      </c>
      <c r="H75" s="355">
        <f>Input!$OW$7</f>
        <v>0</v>
      </c>
      <c r="I75" s="355">
        <f>Input!$OX$7</f>
        <v>0</v>
      </c>
      <c r="J75" s="355">
        <f>Input!$OY$7</f>
        <v>0</v>
      </c>
      <c r="K75" s="355">
        <f>Input!$OZ$7</f>
        <v>0</v>
      </c>
      <c r="L75" s="355">
        <f>Input!$PA$7</f>
        <v>0</v>
      </c>
      <c r="M75" s="357">
        <f t="shared" si="12"/>
        <v>18641466</v>
      </c>
      <c r="O75" s="326"/>
      <c r="P75" s="326">
        <f>SUM(P65:P74)</f>
        <v>18641466</v>
      </c>
      <c r="Q75" s="327" t="s">
        <v>185</v>
      </c>
      <c r="R75" s="328"/>
      <c r="S75" s="330"/>
      <c r="T75" s="328"/>
      <c r="U75" s="495">
        <f t="shared" si="15"/>
        <v>18641466</v>
      </c>
      <c r="V75" s="328"/>
      <c r="W75" s="314" t="s">
        <v>186</v>
      </c>
      <c r="X75" s="331">
        <f>M93*-1</f>
        <v>158831879</v>
      </c>
      <c r="Y75" s="319">
        <f>X75+M93</f>
        <v>0</v>
      </c>
      <c r="Z75" s="332"/>
      <c r="AA75" s="332"/>
      <c r="AB75" s="332"/>
    </row>
    <row r="76" spans="1:28" s="149" customFormat="1" ht="13.5" thickBot="1">
      <c r="A76" s="147">
        <v>59</v>
      </c>
      <c r="B76" s="163" t="s">
        <v>42</v>
      </c>
      <c r="C76" s="163"/>
      <c r="D76" s="359">
        <f>Input!$PB$7</f>
        <v>193474</v>
      </c>
      <c r="E76" s="359">
        <f>Input!$PC$7</f>
        <v>805683</v>
      </c>
      <c r="F76" s="359">
        <f>Input!$PD$7</f>
        <v>0</v>
      </c>
      <c r="G76" s="359">
        <f>Input!$PE$7</f>
        <v>27867</v>
      </c>
      <c r="H76" s="359">
        <f>Input!$PF$7</f>
        <v>1585469</v>
      </c>
      <c r="I76" s="359">
        <f>Input!$PG$7</f>
        <v>0</v>
      </c>
      <c r="J76" s="359">
        <f>Input!$PH$7</f>
        <v>1452288</v>
      </c>
      <c r="K76" s="359">
        <f>Input!$PI$7</f>
        <v>0</v>
      </c>
      <c r="L76" s="359">
        <f>Input!$PJ$7</f>
        <v>0</v>
      </c>
      <c r="M76" s="357">
        <f t="shared" si="12"/>
        <v>4064781</v>
      </c>
      <c r="O76" s="326"/>
      <c r="P76" s="484" t="str">
        <f>IF(P75&lt;&gt;M75,"Out of Balance","Balanced")</f>
        <v>Balanced</v>
      </c>
      <c r="Q76" s="1322" t="s">
        <v>187</v>
      </c>
      <c r="R76" s="1323"/>
      <c r="S76" s="412">
        <f>Input!$UM$7</f>
        <v>3769452987</v>
      </c>
      <c r="T76" s="333"/>
      <c r="U76" s="496">
        <f t="shared" si="15"/>
        <v>2479312</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856473026</v>
      </c>
      <c r="E77" s="356">
        <f t="shared" si="17"/>
        <v>944367169</v>
      </c>
      <c r="F77" s="356">
        <f t="shared" si="17"/>
        <v>11353676</v>
      </c>
      <c r="G77" s="356">
        <f t="shared" si="17"/>
        <v>163056003</v>
      </c>
      <c r="H77" s="356">
        <f t="shared" si="17"/>
        <v>1587469</v>
      </c>
      <c r="I77" s="356">
        <f t="shared" si="17"/>
        <v>0</v>
      </c>
      <c r="J77" s="356">
        <f t="shared" si="17"/>
        <v>9982082</v>
      </c>
      <c r="K77" s="356">
        <f t="shared" si="17"/>
        <v>0</v>
      </c>
      <c r="L77" s="356">
        <f t="shared" si="17"/>
        <v>0</v>
      </c>
      <c r="M77" s="356">
        <f t="shared" si="12"/>
        <v>1986819425</v>
      </c>
      <c r="O77" s="50"/>
      <c r="P77" s="326"/>
      <c r="Q77" s="334" t="s">
        <v>188</v>
      </c>
      <c r="R77" s="335"/>
      <c r="S77" s="413">
        <f>Input!$UN$7</f>
        <v>2575019791</v>
      </c>
      <c r="T77" s="336"/>
      <c r="U77" s="497">
        <f>SUM(U65:U76)</f>
        <v>1985231956</v>
      </c>
      <c r="V77" s="336"/>
      <c r="W77" s="336"/>
      <c r="X77" s="337">
        <f>SUM(X65:X76)</f>
        <v>2122945057</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764761120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Input!$PK$7</f>
        <v>0</v>
      </c>
      <c r="E80" s="355">
        <f>Input!$PL$7</f>
        <v>0</v>
      </c>
      <c r="F80" s="355">
        <f>Input!$PM$7</f>
        <v>0</v>
      </c>
      <c r="G80" s="355">
        <f>Input!$PN$7</f>
        <v>0</v>
      </c>
      <c r="H80" s="355">
        <f>Input!$PO$7</f>
        <v>0</v>
      </c>
      <c r="I80" s="355">
        <f>Input!$PP$7</f>
        <v>0</v>
      </c>
      <c r="J80" s="355">
        <f>Input!$PQ$7</f>
        <v>-288711367</v>
      </c>
      <c r="K80" s="355">
        <f>Input!$PR$7</f>
        <v>0</v>
      </c>
      <c r="L80" s="355">
        <f>Input!$PS$7</f>
        <v>0</v>
      </c>
      <c r="M80" s="357">
        <f>D80+E80+F80+G80+H80+I80+J80+K80+L80</f>
        <v>-288711367</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Input!$PT$7</f>
        <v>-126571992</v>
      </c>
      <c r="E81" s="355">
        <f>Input!$PU$7</f>
        <v>65683863</v>
      </c>
      <c r="F81" s="355">
        <f>Input!$PV$7</f>
        <v>-230000</v>
      </c>
      <c r="G81" s="355">
        <f>Input!$PW$7</f>
        <v>-3743390</v>
      </c>
      <c r="H81" s="355">
        <f>Input!$PX$7</f>
        <v>42765</v>
      </c>
      <c r="I81" s="355">
        <f>Input!$PY$7</f>
        <v>4098694</v>
      </c>
      <c r="J81" s="355">
        <f>Input!$PZ$7</f>
        <v>61965621</v>
      </c>
      <c r="K81" s="355">
        <f>Input!$QA$7</f>
        <v>0</v>
      </c>
      <c r="L81" s="355">
        <f>Input!$QB$7</f>
        <v>-308472</v>
      </c>
      <c r="M81" s="357">
        <f>D81+E81+F81+G81+H81+I81+J81+K81+L81</f>
        <v>937089</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Input!$QC$7</f>
        <v>0</v>
      </c>
      <c r="E82" s="355">
        <f>Input!$QD$7</f>
        <v>0</v>
      </c>
      <c r="F82" s="355">
        <f>Input!$QE$7</f>
        <v>0</v>
      </c>
      <c r="G82" s="355">
        <f>Input!$QF$7</f>
        <v>0</v>
      </c>
      <c r="H82" s="355">
        <f>Input!$QG$7</f>
        <v>0</v>
      </c>
      <c r="I82" s="355">
        <f>Input!$QH$7</f>
        <v>0</v>
      </c>
      <c r="J82" s="355">
        <f>Input!$QI$7</f>
        <v>140645940</v>
      </c>
      <c r="K82" s="355">
        <f>Input!$QJ$7</f>
        <v>0</v>
      </c>
      <c r="L82" s="355">
        <f>Input!$QK$7</f>
        <v>0</v>
      </c>
      <c r="M82" s="357">
        <f>D82+E82+F82+G82+H82+I82+J82+K82+L82</f>
        <v>140645940</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Input!$QL$7</f>
        <v>-67593955</v>
      </c>
      <c r="E83" s="355">
        <f>Input!$QM$7</f>
        <v>-4987662</v>
      </c>
      <c r="F83" s="355">
        <f>Input!$QN$7</f>
        <v>-1370566</v>
      </c>
      <c r="G83" s="355">
        <f>Input!$QO$7</f>
        <v>0</v>
      </c>
      <c r="H83" s="355">
        <f>Input!$QP$7</f>
        <v>0</v>
      </c>
      <c r="I83" s="355">
        <f>Input!$QQ$7</f>
        <v>0</v>
      </c>
      <c r="J83" s="355">
        <f>Input!$QR$7</f>
        <v>-10357900</v>
      </c>
      <c r="K83" s="355">
        <f>Input!$QS$7</f>
        <v>0</v>
      </c>
      <c r="L83" s="355">
        <f>Input!$QT$7</f>
        <v>0</v>
      </c>
      <c r="M83" s="357">
        <f>D83+E83+F83+G83+H83+I83+J83+K83+L83</f>
        <v>-84310083</v>
      </c>
      <c r="O83" s="346"/>
      <c r="P83" s="458" t="s">
        <v>596</v>
      </c>
      <c r="Q83" s="459"/>
      <c r="R83" s="460"/>
      <c r="S83" s="461">
        <f>IF(M91&lt;0,"N/A",M91)</f>
        <v>35085891</v>
      </c>
      <c r="T83" s="326"/>
      <c r="U83" s="343"/>
      <c r="V83" s="305"/>
      <c r="W83" s="305"/>
      <c r="X83" s="343"/>
      <c r="Y83" s="343"/>
      <c r="Z83" s="305"/>
      <c r="AA83" s="305"/>
      <c r="AB83" s="305"/>
    </row>
    <row r="84" spans="1:28" s="149" customFormat="1">
      <c r="A84" s="147">
        <v>67</v>
      </c>
      <c r="B84" s="164" t="s">
        <v>3</v>
      </c>
      <c r="C84" s="164"/>
      <c r="D84" s="356">
        <f t="shared" ref="D84:L84" si="18">SUM(D80:D83)</f>
        <v>-194165947</v>
      </c>
      <c r="E84" s="356">
        <f t="shared" si="18"/>
        <v>60696201</v>
      </c>
      <c r="F84" s="356">
        <f t="shared" si="18"/>
        <v>-1600566</v>
      </c>
      <c r="G84" s="356">
        <f t="shared" si="18"/>
        <v>-3743390</v>
      </c>
      <c r="H84" s="356">
        <f t="shared" si="18"/>
        <v>42765</v>
      </c>
      <c r="I84" s="356">
        <f t="shared" si="18"/>
        <v>4098694</v>
      </c>
      <c r="J84" s="356">
        <f t="shared" si="18"/>
        <v>-96457706</v>
      </c>
      <c r="K84" s="356">
        <f t="shared" si="18"/>
        <v>0</v>
      </c>
      <c r="L84" s="356">
        <f t="shared" si="18"/>
        <v>-308472</v>
      </c>
      <c r="M84" s="356">
        <f>D84+E84+F84+G84+H84+I84+J84+K84+L84</f>
        <v>-231438421</v>
      </c>
      <c r="O84" s="346"/>
      <c r="P84" s="462" t="s">
        <v>597</v>
      </c>
      <c r="Q84" s="347"/>
      <c r="R84" s="347"/>
      <c r="S84" s="492">
        <f>Input!$UY$7</f>
        <v>4476794</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30609097</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Input!$QU$7</f>
        <v>50663</v>
      </c>
      <c r="E87" s="355">
        <f>Input!$QV$7</f>
        <v>74594</v>
      </c>
      <c r="F87" s="355">
        <f>Input!$QW$7</f>
        <v>0</v>
      </c>
      <c r="G87" s="355">
        <f>Input!$QX$7</f>
        <v>0</v>
      </c>
      <c r="H87" s="355">
        <f>Input!$QY$7</f>
        <v>0</v>
      </c>
      <c r="I87" s="355">
        <f>Input!$QZ$7</f>
        <v>26642981</v>
      </c>
      <c r="J87" s="355">
        <f>Input!$RA$7</f>
        <v>0</v>
      </c>
      <c r="K87" s="355">
        <f>Input!$RB$7</f>
        <v>0</v>
      </c>
      <c r="L87" s="355">
        <f>Input!$RC$7</f>
        <v>0</v>
      </c>
      <c r="M87" s="357">
        <f>D87+E87+F87+G87+H87+I87+J87+K87+L87</f>
        <v>26768238</v>
      </c>
      <c r="O87" s="51"/>
      <c r="P87" s="467" t="s">
        <v>599</v>
      </c>
      <c r="Q87" s="305"/>
      <c r="R87" s="347"/>
      <c r="S87" s="463">
        <f>Input!$UZ$7</f>
        <v>26768238</v>
      </c>
      <c r="T87" s="50"/>
      <c r="U87" s="50"/>
      <c r="V87" s="50"/>
      <c r="W87" s="305"/>
      <c r="X87" s="343"/>
      <c r="Y87" s="343"/>
      <c r="Z87" s="305"/>
      <c r="AA87" s="305"/>
      <c r="AB87" s="305"/>
    </row>
    <row r="88" spans="1:28" s="149" customFormat="1">
      <c r="A88" s="147">
        <v>71</v>
      </c>
      <c r="B88" s="149" t="s">
        <v>45</v>
      </c>
      <c r="D88" s="355">
        <f>Input!$RD$7</f>
        <v>0</v>
      </c>
      <c r="E88" s="355">
        <f>Input!$RE$7</f>
        <v>0</v>
      </c>
      <c r="F88" s="355">
        <f>Input!$RF$7</f>
        <v>0</v>
      </c>
      <c r="G88" s="355">
        <f>Input!$RG$7</f>
        <v>114350</v>
      </c>
      <c r="H88" s="355">
        <f>Input!$RH$7</f>
        <v>0</v>
      </c>
      <c r="I88" s="355">
        <f>Input!$RI$7</f>
        <v>3726509</v>
      </c>
      <c r="J88" s="355">
        <f>Input!$RJ$7</f>
        <v>0</v>
      </c>
      <c r="K88" s="355">
        <f>Input!$RK$7</f>
        <v>0</v>
      </c>
      <c r="L88" s="355">
        <f>Input!$RL$7</f>
        <v>0</v>
      </c>
      <c r="M88" s="357">
        <f>D88+E88+F88+G88+H88+I88+J88+K88+L88</f>
        <v>3840859</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50663</v>
      </c>
      <c r="E89" s="356">
        <f t="shared" si="19"/>
        <v>74594</v>
      </c>
      <c r="F89" s="356">
        <f t="shared" si="19"/>
        <v>0</v>
      </c>
      <c r="G89" s="356">
        <f t="shared" si="19"/>
        <v>114350</v>
      </c>
      <c r="H89" s="356">
        <f t="shared" si="19"/>
        <v>0</v>
      </c>
      <c r="I89" s="356">
        <f t="shared" si="19"/>
        <v>30369490</v>
      </c>
      <c r="J89" s="356">
        <f t="shared" si="19"/>
        <v>0</v>
      </c>
      <c r="K89" s="356">
        <f t="shared" si="19"/>
        <v>0</v>
      </c>
      <c r="L89" s="356">
        <f t="shared" si="19"/>
        <v>0</v>
      </c>
      <c r="M89" s="356">
        <f>D89+E89+F89+G89+H89+I89+J89+K89+L89</f>
        <v>30609097</v>
      </c>
      <c r="O89" s="51"/>
      <c r="P89" s="470" t="s">
        <v>601</v>
      </c>
      <c r="Q89" s="305"/>
      <c r="R89" s="305"/>
      <c r="S89" s="464">
        <f>IFERROR(S85-S87,"")</f>
        <v>3840859</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-12596789</v>
      </c>
      <c r="E91" s="356">
        <f t="shared" si="20"/>
        <v>46898069</v>
      </c>
      <c r="F91" s="356">
        <f t="shared" si="20"/>
        <v>1003802</v>
      </c>
      <c r="G91" s="356">
        <f t="shared" si="20"/>
        <v>1171470</v>
      </c>
      <c r="H91" s="356">
        <f t="shared" si="20"/>
        <v>-1307645</v>
      </c>
      <c r="I91" s="356">
        <f t="shared" si="20"/>
        <v>35273518</v>
      </c>
      <c r="J91" s="356">
        <f t="shared" si="20"/>
        <v>-32861042</v>
      </c>
      <c r="K91" s="356">
        <f t="shared" si="20"/>
        <v>0</v>
      </c>
      <c r="L91" s="356">
        <f>L63-L77+L84+L89</f>
        <v>-2495492</v>
      </c>
      <c r="M91" s="356">
        <f>D91+E91+F91+G91+H91+I91+J91+K91+L91</f>
        <v>35085891</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Input!$RM$7</f>
        <v>0</v>
      </c>
      <c r="E93" s="355">
        <f>Input!$RN$7</f>
        <v>0</v>
      </c>
      <c r="F93" s="355">
        <f>Input!$RO$7</f>
        <v>0</v>
      </c>
      <c r="G93" s="355">
        <f>Input!$RP$7</f>
        <v>0</v>
      </c>
      <c r="H93" s="355">
        <f>Input!$RQ$7</f>
        <v>0</v>
      </c>
      <c r="I93" s="355">
        <f>Input!$RR$7</f>
        <v>0</v>
      </c>
      <c r="J93" s="355">
        <f>Input!$RS$7</f>
        <v>0</v>
      </c>
      <c r="K93" s="355">
        <f>Input!$RT$7</f>
        <v>0</v>
      </c>
      <c r="L93" s="355">
        <f>Input!$RU$7</f>
        <v>-158831879</v>
      </c>
      <c r="M93" s="357">
        <f>D93+E93+F93+G93+H93+I93+J93+K93+L93</f>
        <v>-158831879</v>
      </c>
      <c r="O93" s="299"/>
      <c r="P93" s="50"/>
      <c r="Q93" s="50"/>
      <c r="R93" s="50"/>
      <c r="S93" s="50"/>
      <c r="T93" s="50"/>
      <c r="U93" s="50"/>
      <c r="V93" s="50"/>
      <c r="W93" s="50"/>
      <c r="X93" s="50"/>
      <c r="Y93" s="50"/>
      <c r="Z93" s="50"/>
      <c r="AA93" s="50"/>
      <c r="AB93" s="50"/>
    </row>
    <row r="94" spans="1:28" s="149" customFormat="1">
      <c r="A94" s="147">
        <v>78</v>
      </c>
      <c r="B94" s="51" t="s">
        <v>94</v>
      </c>
      <c r="C94" s="51"/>
      <c r="D94" s="355">
        <f>Input!$RV$7</f>
        <v>0</v>
      </c>
      <c r="E94" s="355">
        <f>Input!$RW$7</f>
        <v>0</v>
      </c>
      <c r="F94" s="355">
        <f>Input!$RX$7</f>
        <v>0</v>
      </c>
      <c r="G94" s="355">
        <f>Input!$RY$7</f>
        <v>0</v>
      </c>
      <c r="H94" s="355">
        <f>Input!$RZ$7</f>
        <v>0</v>
      </c>
      <c r="I94" s="355">
        <f>Input!$SA$7</f>
        <v>0</v>
      </c>
      <c r="J94" s="355">
        <f>Input!$SB$7</f>
        <v>0</v>
      </c>
      <c r="K94" s="355">
        <f>Input!$SC$7</f>
        <v>0</v>
      </c>
      <c r="L94" s="355">
        <f>Input!$SD$7</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Input!$SE$7</f>
        <v>0</v>
      </c>
      <c r="E95" s="355">
        <f>Input!$SF$7</f>
        <v>0</v>
      </c>
      <c r="F95" s="355">
        <f>Input!$SG$7</f>
        <v>0</v>
      </c>
      <c r="G95" s="355">
        <f>Input!$SH$7</f>
        <v>0</v>
      </c>
      <c r="H95" s="355">
        <f>Input!$SI$7</f>
        <v>0</v>
      </c>
      <c r="I95" s="355">
        <f>Input!$SJ$7</f>
        <v>0</v>
      </c>
      <c r="J95" s="355">
        <f>Input!$SK$7</f>
        <v>0</v>
      </c>
      <c r="K95" s="355">
        <f>Input!$SL$7</f>
        <v>0</v>
      </c>
      <c r="L95" s="355">
        <f>Input!$SM$7</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Input!$SN$7</f>
        <v>0</v>
      </c>
      <c r="E96" s="355">
        <f>Input!$SO$7</f>
        <v>0</v>
      </c>
      <c r="F96" s="355">
        <f>Input!$SP$7</f>
        <v>0</v>
      </c>
      <c r="G96" s="355">
        <f>Input!$SQ$7</f>
        <v>0</v>
      </c>
      <c r="H96" s="355">
        <f>Input!$SR$7</f>
        <v>0</v>
      </c>
      <c r="I96" s="355">
        <f>Input!$SS$7</f>
        <v>0</v>
      </c>
      <c r="J96" s="355">
        <f>Input!$ST$7</f>
        <v>0</v>
      </c>
      <c r="K96" s="355">
        <f>Input!$SU$7</f>
        <v>0</v>
      </c>
      <c r="L96" s="355">
        <f>Input!$SV$7</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Input!$SW$7</f>
        <v>0</v>
      </c>
      <c r="E97" s="355">
        <f>Input!$SX$7</f>
        <v>0</v>
      </c>
      <c r="F97" s="355">
        <f>Input!$SY$7</f>
        <v>0</v>
      </c>
      <c r="G97" s="355">
        <f>Input!$SZ$7</f>
        <v>0</v>
      </c>
      <c r="H97" s="355">
        <f>Input!$TA$7</f>
        <v>0</v>
      </c>
      <c r="I97" s="355">
        <f>Input!$TB$7</f>
        <v>0</v>
      </c>
      <c r="J97" s="355">
        <f>Input!$TC$7</f>
        <v>0</v>
      </c>
      <c r="K97" s="355">
        <f>Input!$TD$7</f>
        <v>0</v>
      </c>
      <c r="L97" s="355">
        <f>Input!$TE$7</f>
        <v>307352833</v>
      </c>
      <c r="M97" s="357">
        <f>D97+E97+F97+G97+H97+I97+J97+K97+L97</f>
        <v>307352833</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-12596789</v>
      </c>
      <c r="E98" s="360">
        <f t="shared" si="21"/>
        <v>46898069</v>
      </c>
      <c r="F98" s="360">
        <f t="shared" si="21"/>
        <v>1003802</v>
      </c>
      <c r="G98" s="360">
        <f t="shared" si="21"/>
        <v>1171470</v>
      </c>
      <c r="H98" s="360">
        <f t="shared" si="21"/>
        <v>-1307645</v>
      </c>
      <c r="I98" s="360">
        <f t="shared" si="21"/>
        <v>35273518</v>
      </c>
      <c r="J98" s="360">
        <f t="shared" si="21"/>
        <v>-32861042</v>
      </c>
      <c r="K98" s="360">
        <f t="shared" si="21"/>
        <v>0</v>
      </c>
      <c r="L98" s="360">
        <f t="shared" si="21"/>
        <v>146025462</v>
      </c>
      <c r="M98" s="360">
        <f>SUM(M91:M97)</f>
        <v>183606845</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Input!$VC$7</f>
        <v>Craig Elmore</v>
      </c>
      <c r="Q103" s="1334"/>
      <c r="R103" s="1333" t="str">
        <f>Input!$VD$7</f>
        <v>409-772-7525</v>
      </c>
      <c r="S103" s="1334"/>
      <c r="T103" s="305"/>
      <c r="U103" s="1335" t="str">
        <f>HYPERLINK("Mailto:"&amp;Input!$VE$7,Input!$VE$7)</f>
        <v>crelmore@utmb.edu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Input!$TF$7</f>
        <v>183606845</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IF($L$123&lt;&gt;Input!$F$7,"Out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1699095024</v>
      </c>
      <c r="E110" s="357">
        <f>SUM($E$10:$E$14)+SUM($E$19:$E$28)+SUM($E$50)+$E$53+SUM($E$56:$E$61)+SUM($E$65:$E$76)+SUM($E$80:$E$83)+SUM($E$87:$E$88)+SUM($E$93:$E$97)+SUM($E$32:$E$41)+$E$47</f>
        <v>1935620467</v>
      </c>
      <c r="F110" s="357">
        <f>SUM($F$10:$F$14)+SUM($F$19:$F$28)+SUM($F$50)+$F$53+SUM($F$56:$F$61)+SUM($F$65:$F$76)+SUM($F$80:$F$83)+SUM($F$87:$F$88)+SUM($F$93:$F$97)+SUM($F$32:$F$41)+$F$47</f>
        <v>23711154</v>
      </c>
      <c r="G110" s="357">
        <f>SUM($G$10:$G$14)+SUM($G$19:$G$28)+SUM($G$50)+$G$53+SUM($G$56:$G$61)+SUM($G$65:$G$76)+SUM($G$80:$G$83)+SUM($G$87:$G$88)+SUM($G$93:$G$97)+SUM($G$32:$G$41)+$G$47</f>
        <v>327283476</v>
      </c>
      <c r="H110" s="357">
        <f>SUM($H$10:$H$14)+SUM($H$19:$H$28)+SUM($H$50)+$H$53+SUM($H$56:$H$61)+SUM($H$65:$H$76)+SUM($H$80:$H$83)+SUM($H$87:$H$88)+SUM($H$93:$H$97)+SUM($H$32:$H$41)+$H$47</f>
        <v>1867293</v>
      </c>
      <c r="I110" s="357">
        <f>SUM($I$10:$I$14)+SUM($I$19:$I$28)+SUM($I$50)+$I$53+SUM($I$56:$I$61)+SUM($I$65:$I$76)+SUM($I$80:$I$83)+SUM($I$87:$I$88)+SUM($I$93:$I$97)+SUM($I$32:$I$41)+$I$47</f>
        <v>35273518</v>
      </c>
      <c r="J110" s="357">
        <f>SUM($J$10:$J$14)+SUM($J$19:$J$28)+SUM($J$50)+$J$53+SUM($J$56:$J$61)+SUM($J$65:$J$76)+SUM($J$80:$J$83)+SUM($J$87:$J$88)+SUM($J$93:$J$97)+SUM($J$32:$J$41)+$J$47</f>
        <v>-12896878</v>
      </c>
      <c r="K110" s="357">
        <f>SUM($K$10:$K$14)+SUM($K$19:$K$28)+SUM($K$50)+$K$53+SUM($K$56:$K$61)+SUM($K$65:$K$76)+SUM($K$80:$K$83)+SUM($K$87:$K$88)+SUM($K$93:$K$97)+SUM($K$32:$K$41)+$K$47</f>
        <v>0</v>
      </c>
      <c r="L110" s="357">
        <f>SUM($L$10:$L$14)+SUM($L$19:$L$28)+SUM($L$50)+$L$53+SUM($L$56:$L$61)+SUM($L$65:$L$76)+SUM($L$80:$L$83)+SUM($L$87:$L$88)+SUM($L$93:$L$97)+SUM($L$32:$L$41)+$L$47</f>
        <v>146025462</v>
      </c>
      <c r="M110" s="51"/>
      <c r="O110" s="51"/>
    </row>
    <row r="111" spans="1:28" s="50" customFormat="1">
      <c r="A111" s="293"/>
      <c r="B111" s="51"/>
      <c r="C111" s="51"/>
      <c r="D111" s="51"/>
      <c r="E111" s="51"/>
      <c r="F111" s="51"/>
      <c r="G111" s="51"/>
      <c r="H111" s="51"/>
      <c r="I111" s="51"/>
      <c r="J111" s="51"/>
      <c r="K111" s="51"/>
      <c r="L111" s="357">
        <f>SUM($D$110:$L$110)</f>
        <v>4155979516</v>
      </c>
      <c r="M111" s="51"/>
      <c r="O111" s="51"/>
    </row>
    <row r="112" spans="1:28" s="50" customFormat="1">
      <c r="A112" s="293"/>
      <c r="B112" s="51"/>
      <c r="C112" s="51"/>
      <c r="D112" s="51"/>
      <c r="E112" s="51"/>
      <c r="F112" s="51"/>
      <c r="G112" s="51"/>
      <c r="H112" s="51"/>
      <c r="I112" s="51"/>
      <c r="J112" s="51" t="s">
        <v>1249</v>
      </c>
      <c r="K112" s="51"/>
      <c r="L112" s="357">
        <f>$M$105</f>
        <v>183606845</v>
      </c>
      <c r="M112" s="51"/>
      <c r="O112" s="51"/>
    </row>
    <row r="113" spans="1:15" s="50" customFormat="1">
      <c r="A113" s="293"/>
      <c r="B113" s="51"/>
      <c r="C113" s="51"/>
      <c r="D113" s="51"/>
      <c r="E113" s="51"/>
      <c r="F113" s="51"/>
      <c r="G113" s="51"/>
      <c r="H113" s="51"/>
      <c r="I113" s="51"/>
      <c r="J113" s="51" t="s">
        <v>1250</v>
      </c>
      <c r="K113" s="51"/>
      <c r="L113" s="143">
        <f>$Q$32</f>
        <v>44075226</v>
      </c>
      <c r="M113" s="51"/>
      <c r="O113" s="51"/>
    </row>
    <row r="114" spans="1:15" s="50" customFormat="1">
      <c r="A114" s="293"/>
      <c r="B114" s="51"/>
      <c r="C114" s="51"/>
      <c r="D114" s="51"/>
      <c r="E114" s="51"/>
      <c r="F114" s="51"/>
      <c r="G114" s="51"/>
      <c r="H114" s="51"/>
      <c r="I114" s="51"/>
      <c r="J114" s="51" t="s">
        <v>1250</v>
      </c>
      <c r="K114" s="51"/>
      <c r="L114" s="143">
        <f>$R$34</f>
        <v>-2706264</v>
      </c>
      <c r="M114" s="51"/>
      <c r="O114" s="51"/>
    </row>
    <row r="115" spans="1:15" s="50" customFormat="1">
      <c r="A115" s="293"/>
      <c r="B115" s="51"/>
      <c r="C115" s="51"/>
      <c r="D115" s="51"/>
      <c r="E115" s="51"/>
      <c r="F115" s="51"/>
      <c r="G115" s="51"/>
      <c r="H115" s="51"/>
      <c r="I115" s="51"/>
      <c r="J115" s="51" t="s">
        <v>27</v>
      </c>
      <c r="K115" s="51"/>
      <c r="L115" s="143">
        <f>SUM($P$65:$P$74)</f>
        <v>18641466</v>
      </c>
      <c r="M115" s="51"/>
      <c r="O115" s="51"/>
    </row>
    <row r="116" spans="1:15" s="50" customFormat="1">
      <c r="A116" s="293"/>
      <c r="B116" s="51"/>
      <c r="C116" s="51"/>
      <c r="D116" s="51"/>
      <c r="E116" s="51"/>
      <c r="F116" s="51"/>
      <c r="G116" s="51"/>
      <c r="H116" s="51"/>
      <c r="I116" s="51"/>
      <c r="J116" s="51" t="s">
        <v>1009</v>
      </c>
      <c r="K116" s="51"/>
      <c r="L116" s="143">
        <f>$S$76+$S$77</f>
        <v>6344472778</v>
      </c>
      <c r="M116" s="51"/>
      <c r="O116" s="51"/>
    </row>
    <row r="117" spans="1:15" s="50" customFormat="1">
      <c r="A117" s="293"/>
      <c r="B117" s="51"/>
      <c r="C117" s="51"/>
      <c r="D117" s="51"/>
      <c r="E117" s="51"/>
      <c r="F117" s="51"/>
      <c r="G117" s="51"/>
      <c r="H117" s="51"/>
      <c r="I117" s="51"/>
      <c r="J117" s="51" t="s">
        <v>607</v>
      </c>
      <c r="K117" s="51"/>
      <c r="L117" s="143">
        <f>SUM($Q$65:$Q$73)</f>
        <v>2060630</v>
      </c>
      <c r="M117" s="51"/>
      <c r="O117" s="51"/>
    </row>
    <row r="118" spans="1:15" s="50" customFormat="1">
      <c r="A118" s="293"/>
      <c r="B118" s="51"/>
      <c r="C118" s="51"/>
      <c r="D118" s="51"/>
      <c r="E118" s="51"/>
      <c r="F118" s="51"/>
      <c r="G118" s="51"/>
      <c r="H118" s="51"/>
      <c r="I118" s="51"/>
      <c r="J118" s="51" t="s">
        <v>608</v>
      </c>
      <c r="K118" s="51"/>
      <c r="L118" s="143">
        <f>SUM($R$65:$R$73)</f>
        <v>1031999</v>
      </c>
      <c r="M118" s="51"/>
      <c r="O118" s="51"/>
    </row>
    <row r="119" spans="1:15" s="50" customFormat="1">
      <c r="A119" s="293"/>
      <c r="B119" s="51"/>
      <c r="C119" s="51"/>
      <c r="D119" s="51"/>
      <c r="E119" s="51"/>
      <c r="F119" s="51"/>
      <c r="G119" s="51"/>
      <c r="H119" s="51"/>
      <c r="I119" s="51"/>
      <c r="J119" s="51" t="s">
        <v>182</v>
      </c>
      <c r="K119" s="51"/>
      <c r="L119" s="143">
        <f>SUM($X$65:$X$74)</f>
        <v>1964113178</v>
      </c>
      <c r="M119" s="51"/>
      <c r="O119" s="51"/>
    </row>
    <row r="120" spans="1:15" s="50" customFormat="1">
      <c r="A120" s="293"/>
      <c r="B120" s="51"/>
      <c r="C120" s="51"/>
      <c r="D120" s="51"/>
      <c r="E120" s="51"/>
      <c r="F120" s="51"/>
      <c r="G120" s="51"/>
      <c r="H120" s="51"/>
      <c r="I120" s="51"/>
      <c r="J120" s="51" t="s">
        <v>609</v>
      </c>
      <c r="K120" s="51"/>
      <c r="L120" s="143">
        <f>$S$84</f>
        <v>4476794</v>
      </c>
      <c r="M120" s="51"/>
      <c r="O120" s="51"/>
    </row>
    <row r="121" spans="1:15" s="50" customFormat="1">
      <c r="A121" s="293"/>
      <c r="B121" s="51"/>
      <c r="C121" s="51"/>
      <c r="D121" s="51"/>
      <c r="E121" s="51"/>
      <c r="F121" s="51"/>
      <c r="G121" s="51"/>
      <c r="H121" s="51"/>
      <c r="I121" s="51"/>
      <c r="J121" s="51" t="s">
        <v>609</v>
      </c>
      <c r="K121" s="51"/>
      <c r="L121" s="143">
        <f>$S$87</f>
        <v>26768238</v>
      </c>
      <c r="M121" s="51"/>
      <c r="O121" s="51"/>
    </row>
    <row r="122" spans="1:15" s="50" customFormat="1">
      <c r="A122" s="293"/>
      <c r="B122" s="51"/>
      <c r="C122" s="51"/>
      <c r="D122" s="51"/>
      <c r="E122" s="51"/>
      <c r="F122" s="51"/>
      <c r="G122" s="51"/>
      <c r="H122" s="51"/>
      <c r="I122" s="51"/>
      <c r="J122" s="51" t="s">
        <v>1255</v>
      </c>
      <c r="K122" s="51"/>
      <c r="L122" s="935">
        <f>VLOOKUP(B2,Names!$B$10:$C$88,2,FALSE)</f>
        <v>104952</v>
      </c>
      <c r="M122" s="51"/>
      <c r="O122" s="51"/>
    </row>
    <row r="123" spans="1:15">
      <c r="L123" s="486">
        <f>SUM($L$111:$L$122)</f>
        <v>12742625358</v>
      </c>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516" priority="86" stopIfTrue="1" operator="notEqual">
      <formula>#REF!</formula>
    </cfRule>
  </conditionalFormatting>
  <conditionalFormatting sqref="M77">
    <cfRule type="cellIs" dxfId="515" priority="85" stopIfTrue="1" operator="notEqual">
      <formula>SUM($M$65:$M$76)</formula>
    </cfRule>
  </conditionalFormatting>
  <conditionalFormatting sqref="M89">
    <cfRule type="cellIs" dxfId="514" priority="84" stopIfTrue="1" operator="notEqual">
      <formula>SUM($M$87:$M$88)</formula>
    </cfRule>
  </conditionalFormatting>
  <conditionalFormatting sqref="M84">
    <cfRule type="cellIs" dxfId="513" priority="83" stopIfTrue="1" operator="notEqual">
      <formula>SUM($M$80:$M$83)</formula>
    </cfRule>
  </conditionalFormatting>
  <conditionalFormatting sqref="M62">
    <cfRule type="cellIs" dxfId="512" priority="79" stopIfTrue="1" operator="notEqual">
      <formula>SUM($M$56:$M$61)</formula>
    </cfRule>
  </conditionalFormatting>
  <conditionalFormatting sqref="M15">
    <cfRule type="cellIs" dxfId="511" priority="78" stopIfTrue="1" operator="notEqual">
      <formula>SUM($M$10:$M$14)</formula>
    </cfRule>
  </conditionalFormatting>
  <conditionalFormatting sqref="R99:S102 X95:AB102 U93:W100 T95:T102 O93:O100 P94:P101 Q93:Q100 S95:S98 R95:R97 D98:L98">
    <cfRule type="cellIs" dxfId="510" priority="77" stopIfTrue="1" operator="notEqual">
      <formula>#REF!</formula>
    </cfRule>
  </conditionalFormatting>
  <conditionalFormatting sqref="G64:K64">
    <cfRule type="expression" dxfId="509" priority="40">
      <formula>$R$98&lt;&gt;0</formula>
    </cfRule>
  </conditionalFormatting>
  <conditionalFormatting sqref="O11:P11">
    <cfRule type="expression" dxfId="508" priority="39">
      <formula>#REF!&lt;&gt;$N$11</formula>
    </cfRule>
  </conditionalFormatting>
  <conditionalFormatting sqref="O13">
    <cfRule type="expression" dxfId="507" priority="38">
      <formula>$Q$13&lt;&gt;$N$13</formula>
    </cfRule>
  </conditionalFormatting>
  <conditionalFormatting sqref="O12">
    <cfRule type="expression" dxfId="506" priority="37">
      <formula>$Q$12&lt;&gt;$N$12</formula>
    </cfRule>
  </conditionalFormatting>
  <conditionalFormatting sqref="S91">
    <cfRule type="expression" priority="35" stopIfTrue="1">
      <formula>$N$91&lt;0</formula>
    </cfRule>
    <cfRule type="expression" dxfId="505" priority="36">
      <formula>$T$91&lt;&gt;0</formula>
    </cfRule>
  </conditionalFormatting>
  <conditionalFormatting sqref="S84 S87">
    <cfRule type="expression" dxfId="504" priority="33" stopIfTrue="1">
      <formula>$M$91&gt;=0</formula>
    </cfRule>
    <cfRule type="expression" priority="34">
      <formula>$M$91&lt;0</formula>
    </cfRule>
  </conditionalFormatting>
  <conditionalFormatting sqref="U100:V100 R102 U101 P100:P101 Q100:R100 S100:T102 S105:U106">
    <cfRule type="cellIs" dxfId="503" priority="32" stopIfTrue="1" operator="notEqual">
      <formula>#REF!</formula>
    </cfRule>
  </conditionalFormatting>
  <conditionalFormatting sqref="P76">
    <cfRule type="expression" dxfId="502" priority="30">
      <formula>$P$75&lt;&gt;$M$75</formula>
    </cfRule>
  </conditionalFormatting>
  <conditionalFormatting sqref="Y78">
    <cfRule type="expression" dxfId="501" priority="29">
      <formula>$Y$77&lt;&gt;0</formula>
    </cfRule>
  </conditionalFormatting>
  <conditionalFormatting sqref="Q36">
    <cfRule type="expression" dxfId="500" priority="25">
      <formula>#REF!&lt;&gt;#REF!</formula>
    </cfRule>
  </conditionalFormatting>
  <conditionalFormatting sqref="R35">
    <cfRule type="expression" dxfId="499" priority="24">
      <formula>#REF!&lt;&gt;0</formula>
    </cfRule>
  </conditionalFormatting>
  <conditionalFormatting sqref="Q35">
    <cfRule type="expression" dxfId="498" priority="23">
      <formula>#REF!&lt;&gt;0</formula>
    </cfRule>
  </conditionalFormatting>
  <conditionalFormatting sqref="R36">
    <cfRule type="expression" dxfId="497" priority="22">
      <formula>#REF!&lt;&gt;#REF!</formula>
    </cfRule>
  </conditionalFormatting>
  <conditionalFormatting sqref="D99:M99 D98:L98">
    <cfRule type="cellIs" dxfId="496" priority="21" stopIfTrue="1" operator="notEqual">
      <formula>#REF!</formula>
    </cfRule>
  </conditionalFormatting>
  <conditionalFormatting sqref="M77">
    <cfRule type="cellIs" dxfId="495" priority="20" stopIfTrue="1" operator="notEqual">
      <formula>SUM($M$65:$M$76)</formula>
    </cfRule>
  </conditionalFormatting>
  <conditionalFormatting sqref="M89">
    <cfRule type="cellIs" dxfId="494" priority="19" stopIfTrue="1" operator="notEqual">
      <formula>SUM($M$87:$M$88)</formula>
    </cfRule>
  </conditionalFormatting>
  <conditionalFormatting sqref="M84">
    <cfRule type="cellIs" dxfId="493" priority="18" stopIfTrue="1" operator="notEqual">
      <formula>SUM($M$80:$M$83)</formula>
    </cfRule>
  </conditionalFormatting>
  <conditionalFormatting sqref="M62">
    <cfRule type="cellIs" dxfId="492" priority="17" stopIfTrue="1" operator="notEqual">
      <formula>SUM($M$56:$M$61)</formula>
    </cfRule>
  </conditionalFormatting>
  <conditionalFormatting sqref="M15">
    <cfRule type="cellIs" dxfId="491" priority="16" stopIfTrue="1" operator="notEqual">
      <formula>SUM($M$10:$M$14)</formula>
    </cfRule>
  </conditionalFormatting>
  <conditionalFormatting sqref="D98:L98">
    <cfRule type="cellIs" dxfId="490" priority="15" stopIfTrue="1" operator="notEqual">
      <formula>#REF!</formula>
    </cfRule>
  </conditionalFormatting>
  <conditionalFormatting sqref="G64:K64">
    <cfRule type="expression" dxfId="489" priority="14">
      <formula>$R$98&lt;&gt;0</formula>
    </cfRule>
  </conditionalFormatting>
  <conditionalFormatting sqref="O11:P11">
    <cfRule type="expression" dxfId="488" priority="13">
      <formula>#REF!&lt;&gt;$N$11</formula>
    </cfRule>
  </conditionalFormatting>
  <conditionalFormatting sqref="O13">
    <cfRule type="expression" dxfId="487" priority="12">
      <formula>$Q$13&lt;&gt;$N$13</formula>
    </cfRule>
  </conditionalFormatting>
  <conditionalFormatting sqref="O12">
    <cfRule type="expression" dxfId="486" priority="11">
      <formula>$Q$12&lt;&gt;$N$12</formula>
    </cfRule>
  </conditionalFormatting>
  <conditionalFormatting sqref="S91">
    <cfRule type="expression" priority="9" stopIfTrue="1">
      <formula>$N$91&lt;0</formula>
    </cfRule>
    <cfRule type="expression" dxfId="485" priority="10">
      <formula>$T$91&lt;&gt;0</formula>
    </cfRule>
  </conditionalFormatting>
  <conditionalFormatting sqref="S84 S87">
    <cfRule type="expression" dxfId="484" priority="7" stopIfTrue="1">
      <formula>$M$91&gt;=0</formula>
    </cfRule>
    <cfRule type="expression" priority="8">
      <formula>$M$91&lt;0</formula>
    </cfRule>
  </conditionalFormatting>
  <conditionalFormatting sqref="U100:V100 R102 U101 P100:P101 Q100:R100 S100:T102 S105:U106">
    <cfRule type="cellIs" dxfId="483" priority="6" stopIfTrue="1" operator="notEqual">
      <formula>#REF!</formula>
    </cfRule>
  </conditionalFormatting>
  <conditionalFormatting sqref="P76">
    <cfRule type="expression" dxfId="482" priority="5">
      <formula>$P$75&lt;&gt;$M$75</formula>
    </cfRule>
  </conditionalFormatting>
  <conditionalFormatting sqref="Y78">
    <cfRule type="expression" dxfId="481" priority="4">
      <formula>$Y$77&lt;&gt;0</formula>
    </cfRule>
  </conditionalFormatting>
  <conditionalFormatting sqref="Q36:R36">
    <cfRule type="expression" dxfId="480" priority="3">
      <formula>#REF!&lt;&gt;#REF!</formula>
    </cfRule>
  </conditionalFormatting>
  <conditionalFormatting sqref="R35">
    <cfRule type="expression" dxfId="479" priority="2">
      <formula>#REF!&lt;&gt;0</formula>
    </cfRule>
  </conditionalFormatting>
  <conditionalFormatting sqref="Q35">
    <cfRule type="expression" dxfId="478"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1.7109375" style="53" customWidth="1"/>
    <col min="11" max="16384" width="9.140625" style="53"/>
  </cols>
  <sheetData>
    <row r="1" spans="1:7" ht="15">
      <c r="B1" s="387" t="str">
        <f>'MBG Chts'!$A$1</f>
        <v>The University of Texas Medical Branch at Galveston</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IF('MBG FGD'!$S$83="N/A","FN11.  N/A",$B$14&amp;$B$15&amp;$B$16&amp;$B$17&amp;$B$18&amp;$B$19&amp;$B$20&amp;$B$21&amp;$B$22&amp;$B$23&amp;$B$24)</f>
        <v>FN11: Of the net increase of $35,085,891 approximately $4.5 million represents revenues received but not year expended. This income is fully committed to program expenditures and capital disbursements. The remaining $30.6 million represents non-expendable funds from unrealized gains and additions to permanent endowments of approximately $26.8 million and $3.8 million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TEXT(IF('MBG FGD'!$M$91&lt;0,"N/A",'MBG FGD'!$M$91),"$* #,##0;$* (#,##0)")</f>
        <v>$35,085,891</v>
      </c>
      <c r="C15" s="453"/>
      <c r="F15" s="453"/>
      <c r="G15" s="54"/>
    </row>
    <row r="16" spans="1:7">
      <c r="B16" s="54" t="s">
        <v>611</v>
      </c>
    </row>
    <row r="17" spans="1:6">
      <c r="A17" s="53">
        <v>68</v>
      </c>
      <c r="B17" s="489" t="str">
        <f>IF(ABS('MBG FGD'!$S$84)&gt;=1000000,TEXT('MBG FGD'!$S$84/1000000,"$* #,##0.0;$* (#,##0.0)")&amp;" million",IF(ABS('MBG FGD'!$S$84)&lt;1000,TEXT('MBG FGD'!$S$84,"$* #,##0;$* (#,##0)"),TEXT('MBG FGD'!$S$84/1000,"$* #,##0;$* (#,##0)")&amp;" thousand"))</f>
        <v>$4.5 million</v>
      </c>
      <c r="C17" s="489"/>
      <c r="F17" s="489"/>
    </row>
    <row r="18" spans="1:6">
      <c r="B18" s="54" t="s">
        <v>627</v>
      </c>
    </row>
    <row r="19" spans="1:6">
      <c r="A19" s="53">
        <v>69</v>
      </c>
      <c r="B19" s="53" t="str">
        <f>IF(ABS('MBG FGD'!$S$85)&gt;=1000000,TEXT('MBG FGD'!$S$85/1000000,"$* #,##0.0;$* (#,##0.0)")&amp;" million",IF(ABS('MBG FGD'!$S$85)&lt;1000,TEXT('MBG FGD'!$S$85,"$* #,##0;$* (#,##0)"),TEXT('MBG FGD'!$S$85/1000,"$* #,##0;$* (#,##0)")&amp;" thousand"))</f>
        <v>$30.6 million</v>
      </c>
    </row>
    <row r="20" spans="1:6">
      <c r="B20" s="54" t="s">
        <v>612</v>
      </c>
    </row>
    <row r="21" spans="1:6">
      <c r="A21" s="53">
        <v>71</v>
      </c>
      <c r="B21" s="53" t="str">
        <f>IF(ABS('MBG FGD'!$S$87)&gt;=1000000,TEXT('MBG FGD'!$S$87/1000000,"$* #,##0.0;$* (#,##0.0)")&amp;" million",IF(ABS('MBG FGD'!$S$87)&lt;1000,TEXT('MBG FGD'!$S$87,"$* #,##0;$* (#,##0)"),TEXT('MBG FGD'!$S$87/1000,"$* #,##0;$* (#,##0)")&amp;" thousand"))</f>
        <v>$26.8 million</v>
      </c>
    </row>
    <row r="22" spans="1:6">
      <c r="B22" s="54" t="s">
        <v>613</v>
      </c>
    </row>
    <row r="23" spans="1:6">
      <c r="A23" s="53">
        <v>73</v>
      </c>
      <c r="B23" s="53" t="str">
        <f>IF(ABS('MBG FGD'!$S$89)&gt;=1000000,TEXT('MBG FGD'!$S$89/1000000,"$* #,##0.0;$* (#,##0.0)")&amp;" million",IF(ABS('MBG FGD'!$S$89)&lt;1000,TEXT('MBG FGD'!$S$89,"$* #,##0;$* (#,##0)"),TEXT('MBG FGD'!$S$89/1000,"$* #,##0;$* (#,##0)")&amp;" thousand"))</f>
        <v>$3.8 million</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5"/>
  <sheetViews>
    <sheetView showGridLines="0" topLeftCell="A3" workbookViewId="0">
      <selection activeCell="D4" sqref="D4"/>
    </sheetView>
  </sheetViews>
  <sheetFormatPr defaultRowHeight="12.75"/>
  <cols>
    <col min="1" max="1" width="3.5703125" customWidth="1"/>
    <col min="2" max="2" width="5" customWidth="1"/>
    <col min="3" max="3" width="56.7109375" customWidth="1"/>
    <col min="4" max="4" width="20.140625" customWidth="1"/>
    <col min="5" max="5" width="19.42578125" customWidth="1"/>
  </cols>
  <sheetData>
    <row r="1" spans="2:8" ht="13.5" thickBot="1">
      <c r="D1" s="103" t="s">
        <v>196</v>
      </c>
      <c r="H1" s="703" t="s">
        <v>1123</v>
      </c>
    </row>
    <row r="2" spans="2:8">
      <c r="D2" s="103" t="s">
        <v>1201</v>
      </c>
    </row>
    <row r="3" spans="2:8">
      <c r="D3" s="103" t="s">
        <v>1214</v>
      </c>
    </row>
    <row r="5" spans="2:8">
      <c r="C5" s="812" t="s">
        <v>1200</v>
      </c>
    </row>
    <row r="7" spans="2:8" ht="25.5">
      <c r="C7" s="293" t="s">
        <v>192</v>
      </c>
      <c r="D7" s="365" t="s">
        <v>193</v>
      </c>
      <c r="E7" s="365" t="s">
        <v>194</v>
      </c>
    </row>
    <row r="8" spans="2:8">
      <c r="B8" s="364">
        <v>390</v>
      </c>
      <c r="C8" s="364" t="s">
        <v>93</v>
      </c>
      <c r="D8" s="362">
        <f>'SWM FGD'!S66</f>
        <v>370282054</v>
      </c>
      <c r="E8" s="362">
        <f>'SWM FGD'!S78</f>
        <v>1418648188</v>
      </c>
    </row>
    <row r="9" spans="2:8">
      <c r="B9" s="364">
        <v>400</v>
      </c>
      <c r="C9" s="364" t="s">
        <v>97</v>
      </c>
      <c r="D9" s="368">
        <f>'MBG FGD'!S66</f>
        <v>112693935</v>
      </c>
      <c r="E9" s="368">
        <f>'MBG FGD'!S78</f>
        <v>764761120</v>
      </c>
    </row>
    <row r="10" spans="2:8">
      <c r="B10" s="364">
        <v>410</v>
      </c>
      <c r="C10" s="364" t="s">
        <v>98</v>
      </c>
      <c r="D10" s="368">
        <f>'HSH FGD'!S66</f>
        <v>197926744</v>
      </c>
      <c r="E10" s="368">
        <f>'HSH FGD'!S78</f>
        <v>1576866555</v>
      </c>
    </row>
    <row r="11" spans="2:8">
      <c r="B11" s="364">
        <v>420</v>
      </c>
      <c r="C11" s="364" t="s">
        <v>99</v>
      </c>
      <c r="D11" s="368">
        <f>'HSSA FGD'!S66</f>
        <v>135867233</v>
      </c>
      <c r="E11" s="368">
        <f>'HSSA FGD'!S78</f>
        <v>827714786</v>
      </c>
    </row>
    <row r="12" spans="2:8">
      <c r="B12" s="364">
        <v>430</v>
      </c>
      <c r="C12" s="364" t="s">
        <v>100</v>
      </c>
      <c r="D12" s="368">
        <f>'MDA FGD'!S66</f>
        <v>773909510</v>
      </c>
      <c r="E12" s="368">
        <f>'MDA FGD'!S78</f>
        <v>448010020</v>
      </c>
    </row>
    <row r="13" spans="2:8">
      <c r="B13" s="364">
        <v>440</v>
      </c>
      <c r="C13" s="364" t="s">
        <v>101</v>
      </c>
      <c r="D13" s="368">
        <f>'THC FGD'!S66</f>
        <v>16593385</v>
      </c>
      <c r="E13" s="368">
        <f>'THC FGD'!S78</f>
        <v>149186758</v>
      </c>
    </row>
    <row r="14" spans="2:8">
      <c r="B14" s="364">
        <v>450</v>
      </c>
      <c r="C14" s="364" t="s">
        <v>102</v>
      </c>
      <c r="D14" s="368">
        <f>'TAMHSC FGD'!S66</f>
        <v>68919246</v>
      </c>
      <c r="E14" s="368">
        <f>'TAMHSC FGD'!S78</f>
        <v>275607710</v>
      </c>
    </row>
    <row r="15" spans="2:8">
      <c r="B15" s="364">
        <v>460</v>
      </c>
      <c r="C15" s="364" t="s">
        <v>191</v>
      </c>
      <c r="D15" s="368">
        <f>'UNTHSC FGD'!S66</f>
        <v>37113022</v>
      </c>
      <c r="E15" s="368">
        <f>'UNTHSC FGD'!S78</f>
        <v>213001800</v>
      </c>
    </row>
    <row r="16" spans="2:8">
      <c r="B16" s="364">
        <v>470</v>
      </c>
      <c r="C16" s="364" t="s">
        <v>106</v>
      </c>
      <c r="D16" s="368">
        <f>'TTUHSC FGD'!S66</f>
        <v>34983830</v>
      </c>
      <c r="E16" s="368">
        <f>'TTUHSC FGD'!S78</f>
        <v>527274260</v>
      </c>
    </row>
    <row r="17" spans="3:5" ht="13.5" thickBot="1">
      <c r="C17" s="366" t="s">
        <v>195</v>
      </c>
      <c r="D17" s="367">
        <f>SUM(D8:D16)</f>
        <v>1748288959</v>
      </c>
      <c r="E17" s="367">
        <f>SUM(E8:E16)</f>
        <v>6201071197</v>
      </c>
    </row>
    <row r="18" spans="3:5" ht="13.5" thickTop="1"/>
    <row r="24" spans="3:5">
      <c r="C24" t="s">
        <v>1202</v>
      </c>
    </row>
    <row r="25" spans="3:5">
      <c r="D25" s="293" t="s">
        <v>14</v>
      </c>
    </row>
    <row r="26" spans="3:5">
      <c r="C26" s="364" t="s">
        <v>93</v>
      </c>
      <c r="D26" s="362">
        <f>'SWM FGD'!M65</f>
        <v>951791832</v>
      </c>
    </row>
    <row r="27" spans="3:5">
      <c r="C27" s="364" t="s">
        <v>97</v>
      </c>
      <c r="D27" s="368">
        <f>'MBG FGD'!M65</f>
        <v>337210597</v>
      </c>
    </row>
    <row r="28" spans="3:5">
      <c r="C28" s="364" t="s">
        <v>98</v>
      </c>
      <c r="D28" s="368">
        <f>'HSH FGD'!M65</f>
        <v>717084884</v>
      </c>
    </row>
    <row r="29" spans="3:5">
      <c r="C29" s="364" t="s">
        <v>99</v>
      </c>
      <c r="D29" s="368">
        <f>'HSSA FGD'!M65</f>
        <v>380969177</v>
      </c>
    </row>
    <row r="30" spans="3:5">
      <c r="C30" s="364" t="s">
        <v>100</v>
      </c>
      <c r="D30" s="368">
        <f>'MDA FGD'!M65</f>
        <v>77333871</v>
      </c>
    </row>
    <row r="31" spans="3:5">
      <c r="C31" s="364" t="s">
        <v>101</v>
      </c>
      <c r="D31" s="368">
        <f>'THC FGD'!M65</f>
        <v>17373510</v>
      </c>
    </row>
    <row r="32" spans="3:5">
      <c r="C32" s="364" t="s">
        <v>102</v>
      </c>
      <c r="D32" s="368">
        <f>'TAMHSC FGD'!M65</f>
        <v>115055491</v>
      </c>
    </row>
    <row r="33" spans="3:5">
      <c r="C33" s="364" t="s">
        <v>191</v>
      </c>
      <c r="D33" s="368">
        <f>'UNTHSC FGD'!M65</f>
        <v>70535325</v>
      </c>
    </row>
    <row r="34" spans="3:5">
      <c r="C34" s="364" t="s">
        <v>106</v>
      </c>
      <c r="D34" s="368">
        <f>'TTUHSC FGD'!M65</f>
        <v>202142878</v>
      </c>
    </row>
    <row r="35" spans="3:5" ht="13.5" thickBot="1">
      <c r="C35" s="366" t="s">
        <v>195</v>
      </c>
      <c r="D35" s="367">
        <f>SUM(D26:D34)</f>
        <v>2869497565</v>
      </c>
    </row>
    <row r="36" spans="3:5" ht="13.5" thickTop="1"/>
    <row r="43" spans="3:5" ht="13.5" thickBot="1">
      <c r="C43" s="50" t="s">
        <v>1213</v>
      </c>
      <c r="D43" s="367">
        <v>1497141081</v>
      </c>
      <c r="E43" s="367">
        <v>4849386791</v>
      </c>
    </row>
    <row r="44" spans="3:5" ht="14.25" thickTop="1" thickBot="1">
      <c r="D44" s="367">
        <v>2022546884</v>
      </c>
    </row>
    <row r="45" spans="3:5" ht="13.5" thickTop="1"/>
  </sheetData>
  <hyperlinks>
    <hyperlink ref="H1" location="Index!A1" display="Return to Index"/>
  </hyperlinks>
  <pageMargins left="0.2" right="0.2" top="0.5" bottom="0.25" header="0.3" footer="0.3"/>
  <pageSetup scale="9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8.140625" style="53" customWidth="1"/>
    <col min="3" max="3" width="55" style="53" customWidth="1"/>
    <col min="4" max="4" width="20.140625" style="53" customWidth="1"/>
    <col min="5" max="16384" width="9.140625" style="53"/>
  </cols>
  <sheetData>
    <row r="1" spans="1:5" ht="27.75" customHeight="1">
      <c r="A1" s="146" t="s">
        <v>98</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'HSH Sum'!A9</f>
        <v>State of Texas</v>
      </c>
      <c r="D11" s="61">
        <f>'HSH Sum'!B15</f>
        <v>233613776</v>
      </c>
      <c r="E11" s="673">
        <f>ROUND(D11/$D$17,3)</f>
        <v>0.13900000000000001</v>
      </c>
    </row>
    <row r="12" spans="1:5" ht="12.95" customHeight="1">
      <c r="B12" s="56"/>
      <c r="C12" s="60" t="str">
        <f>'HSH Sum'!A17</f>
        <v>Student &amp; Parent</v>
      </c>
      <c r="D12" s="61">
        <f>'HSH Sum'!B20</f>
        <v>56636942</v>
      </c>
      <c r="E12" s="673">
        <f t="shared" ref="E12:E15" si="0">ROUND(D12/$D$17,3)</f>
        <v>3.4000000000000002E-2</v>
      </c>
    </row>
    <row r="13" spans="1:5" ht="12.95" customHeight="1">
      <c r="B13" s="56"/>
      <c r="C13" s="60" t="str">
        <f>'HSH Sum'!A22</f>
        <v>Federal Government</v>
      </c>
      <c r="D13" s="61">
        <f>'HSH Sum'!B23</f>
        <v>156372343</v>
      </c>
      <c r="E13" s="673">
        <f t="shared" si="0"/>
        <v>9.2999999999999999E-2</v>
      </c>
    </row>
    <row r="14" spans="1:5" ht="12.95" customHeight="1">
      <c r="B14" s="56"/>
      <c r="C14" s="60" t="str">
        <f>'HSH Sum'!A31</f>
        <v>Institutional Resources</v>
      </c>
      <c r="D14" s="61">
        <f>'HSH Sum'!B38</f>
        <v>798660327</v>
      </c>
      <c r="E14" s="673">
        <f t="shared" si="0"/>
        <v>0.47399999999999998</v>
      </c>
    </row>
    <row r="15" spans="1:5" ht="12.95" customHeight="1">
      <c r="B15" s="56"/>
      <c r="C15" s="62" t="s">
        <v>58</v>
      </c>
      <c r="D15" s="61">
        <f>'HSH Sum'!B29+'HSH Sum'!B26</f>
        <v>440859242</v>
      </c>
      <c r="E15" s="673">
        <f t="shared" si="0"/>
        <v>0.26100000000000001</v>
      </c>
    </row>
    <row r="16" spans="1:5" ht="12.95" customHeight="1">
      <c r="B16" s="56"/>
      <c r="C16" s="58"/>
      <c r="D16" s="59"/>
    </row>
    <row r="17" spans="1:5" ht="12.95" customHeight="1">
      <c r="B17" s="56"/>
      <c r="C17" s="63" t="s">
        <v>71</v>
      </c>
      <c r="D17" s="64">
        <f>SUM(D11:D16)</f>
        <v>1686142630</v>
      </c>
      <c r="E17" s="674">
        <f>SUM(E11:E15)</f>
        <v>1.0009999999999999</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$1,686,142,630</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'HSH Sum'!B10</f>
        <v>214802895</v>
      </c>
      <c r="E53" s="673">
        <f>ROUND(D53/$D$68,3)</f>
        <v>0.127</v>
      </c>
    </row>
    <row r="54" spans="1:5" ht="12.95" customHeight="1">
      <c r="C54" s="60" t="s">
        <v>76</v>
      </c>
      <c r="D54" s="61">
        <f>'HSH Sum'!B11</f>
        <v>18810881</v>
      </c>
      <c r="E54" s="673">
        <f t="shared" ref="E54:E67" si="1">ROUND(D54/$D$68,3)</f>
        <v>1.0999999999999999E-2</v>
      </c>
    </row>
    <row r="55" spans="1:5" ht="12.95" customHeight="1">
      <c r="C55" s="907"/>
      <c r="D55" s="61"/>
      <c r="E55" s="673"/>
    </row>
    <row r="56" spans="1:5" ht="12.95" customHeight="1">
      <c r="C56" s="907" t="str">
        <f>'HSH Sum'!A13</f>
        <v>Higher Education Fund</v>
      </c>
      <c r="D56" s="61">
        <f>'HSH Sum'!B13</f>
        <v>0</v>
      </c>
      <c r="E56" s="673">
        <f t="shared" si="1"/>
        <v>0</v>
      </c>
    </row>
    <row r="57" spans="1:5" ht="12.95" customHeight="1">
      <c r="C57" s="907" t="s">
        <v>39</v>
      </c>
      <c r="D57" s="61">
        <f>'HSH Sum'!B14</f>
        <v>0</v>
      </c>
      <c r="E57" s="673">
        <f t="shared" si="1"/>
        <v>0</v>
      </c>
    </row>
    <row r="58" spans="1:5" ht="12.95" customHeight="1">
      <c r="C58" s="60" t="s">
        <v>77</v>
      </c>
      <c r="D58" s="61">
        <f>'HSH Sum'!B20</f>
        <v>56636942</v>
      </c>
      <c r="E58" s="673">
        <f t="shared" si="1"/>
        <v>3.4000000000000002E-2</v>
      </c>
    </row>
    <row r="59" spans="1:5" ht="12.95" customHeight="1">
      <c r="C59" s="66" t="s">
        <v>78</v>
      </c>
      <c r="D59" s="61">
        <f>'HSH Sum'!B23</f>
        <v>156372343</v>
      </c>
      <c r="E59" s="673">
        <f t="shared" si="1"/>
        <v>9.2999999999999999E-2</v>
      </c>
    </row>
    <row r="60" spans="1:5" ht="12.95" customHeight="1">
      <c r="C60" s="60" t="s">
        <v>79</v>
      </c>
      <c r="D60" s="61">
        <f>'HSH Sum'!B32</f>
        <v>57171456</v>
      </c>
      <c r="E60" s="673">
        <f t="shared" si="1"/>
        <v>3.4000000000000002E-2</v>
      </c>
    </row>
    <row r="61" spans="1:5" ht="12.95" customHeight="1">
      <c r="C61" s="60" t="s">
        <v>198</v>
      </c>
      <c r="D61" s="61">
        <f>'HSH Sum'!B33</f>
        <v>436379382</v>
      </c>
      <c r="E61" s="673">
        <f t="shared" si="1"/>
        <v>0.25900000000000001</v>
      </c>
    </row>
    <row r="62" spans="1:5" ht="12.95" customHeight="1">
      <c r="C62" s="60" t="s">
        <v>80</v>
      </c>
      <c r="D62" s="61">
        <f>'HSH Sum'!B34</f>
        <v>164397593</v>
      </c>
      <c r="E62" s="673">
        <f t="shared" si="1"/>
        <v>9.7000000000000003E-2</v>
      </c>
    </row>
    <row r="63" spans="1:5" ht="12.95" customHeight="1">
      <c r="C63" s="60" t="s">
        <v>81</v>
      </c>
      <c r="D63" s="61">
        <f>'HSH Sum'!B35</f>
        <v>37579867</v>
      </c>
      <c r="E63" s="673">
        <f t="shared" si="1"/>
        <v>2.1999999999999999E-2</v>
      </c>
    </row>
    <row r="64" spans="1:5" ht="12.95" customHeight="1">
      <c r="C64" s="60" t="s">
        <v>12</v>
      </c>
      <c r="D64" s="61">
        <f>'HSH Sum'!B36</f>
        <v>27162590</v>
      </c>
      <c r="E64" s="673">
        <f t="shared" si="1"/>
        <v>1.6E-2</v>
      </c>
    </row>
    <row r="65" spans="1:5" ht="12.95" customHeight="1">
      <c r="C65" s="66" t="s">
        <v>48</v>
      </c>
      <c r="D65" s="61">
        <f>'HSH Sum'!B37</f>
        <v>75969439</v>
      </c>
      <c r="E65" s="673">
        <f t="shared" si="1"/>
        <v>4.4999999999999998E-2</v>
      </c>
    </row>
    <row r="66" spans="1:5" ht="12.95" customHeight="1">
      <c r="C66" s="66" t="s">
        <v>57</v>
      </c>
      <c r="D66" s="61">
        <f>'HSH Sum'!B26</f>
        <v>368873422</v>
      </c>
      <c r="E66" s="673">
        <f t="shared" si="1"/>
        <v>0.219</v>
      </c>
    </row>
    <row r="67" spans="1:5" ht="12.95" customHeight="1">
      <c r="C67" s="62" t="s">
        <v>58</v>
      </c>
      <c r="D67" s="61">
        <f>'HSH Sum'!B29</f>
        <v>71985820</v>
      </c>
      <c r="E67" s="673">
        <f t="shared" si="1"/>
        <v>4.2999999999999997E-2</v>
      </c>
    </row>
    <row r="68" spans="1:5" ht="12.95" customHeight="1">
      <c r="C68" s="63" t="s">
        <v>71</v>
      </c>
      <c r="D68" s="64">
        <f>SUM(D53:D67)</f>
        <v>1686142630</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$1,686,142,630</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'HSH Sum'!B42</f>
        <v>717084884</v>
      </c>
      <c r="E102" s="673">
        <f>ROUND(D102/$D$115,3)</f>
        <v>0.44600000000000001</v>
      </c>
    </row>
    <row r="103" spans="1:5" ht="12.95" customHeight="1">
      <c r="C103" s="68" t="s">
        <v>15</v>
      </c>
      <c r="D103" s="61">
        <f>'HSH Sum'!B43</f>
        <v>199048552</v>
      </c>
      <c r="E103" s="673">
        <f t="shared" ref="E103:E113" si="2">ROUND(D103/$D$115,3)</f>
        <v>0.124</v>
      </c>
    </row>
    <row r="104" spans="1:5" ht="12.95" customHeight="1">
      <c r="C104" s="68" t="s">
        <v>16</v>
      </c>
      <c r="D104" s="61">
        <f>'HSH Sum'!B44</f>
        <v>31435559</v>
      </c>
      <c r="E104" s="673">
        <f t="shared" si="2"/>
        <v>0.02</v>
      </c>
    </row>
    <row r="105" spans="1:5" ht="12.95" customHeight="1">
      <c r="C105" s="68" t="s">
        <v>17</v>
      </c>
      <c r="D105" s="61">
        <f>'HSH Sum'!B46</f>
        <v>55340893</v>
      </c>
      <c r="E105" s="673">
        <f t="shared" si="2"/>
        <v>3.4000000000000002E-2</v>
      </c>
    </row>
    <row r="106" spans="1:5" ht="12.95" customHeight="1">
      <c r="C106" s="68" t="s">
        <v>18</v>
      </c>
      <c r="D106" s="61">
        <f>'HSH Sum'!B47</f>
        <v>9150310</v>
      </c>
      <c r="E106" s="673">
        <f t="shared" si="2"/>
        <v>6.0000000000000001E-3</v>
      </c>
    </row>
    <row r="107" spans="1:5" ht="12.95" customHeight="1">
      <c r="C107" s="68" t="s">
        <v>19</v>
      </c>
      <c r="D107" s="61">
        <f>'HSH Sum'!B48</f>
        <v>77137846</v>
      </c>
      <c r="E107" s="673">
        <f t="shared" si="2"/>
        <v>4.8000000000000001E-2</v>
      </c>
    </row>
    <row r="108" spans="1:5" ht="12.95" customHeight="1">
      <c r="C108" s="68" t="s">
        <v>82</v>
      </c>
      <c r="D108" s="61">
        <f>'HSH Sum'!B49</f>
        <v>43942794</v>
      </c>
      <c r="E108" s="673">
        <f t="shared" si="2"/>
        <v>2.7E-2</v>
      </c>
    </row>
    <row r="109" spans="1:5" ht="12.95" customHeight="1">
      <c r="C109" s="68" t="s">
        <v>83</v>
      </c>
      <c r="D109" s="61">
        <f>'HSH Sum'!B50</f>
        <v>9668012</v>
      </c>
      <c r="E109" s="673">
        <f t="shared" si="2"/>
        <v>6.0000000000000001E-3</v>
      </c>
    </row>
    <row r="110" spans="1:5" ht="12.95" customHeight="1">
      <c r="C110" s="68" t="s">
        <v>22</v>
      </c>
      <c r="D110" s="61">
        <f>'HSH Sum'!B51</f>
        <v>17062069</v>
      </c>
      <c r="E110" s="673">
        <f t="shared" si="2"/>
        <v>1.0999999999999999E-2</v>
      </c>
    </row>
    <row r="111" spans="1:5" ht="12.95" customHeight="1">
      <c r="C111" s="69" t="s">
        <v>27</v>
      </c>
      <c r="D111" s="61">
        <f>'HSH Sum'!B52</f>
        <v>14064666</v>
      </c>
      <c r="E111" s="673">
        <f t="shared" si="2"/>
        <v>8.9999999999999993E-3</v>
      </c>
    </row>
    <row r="112" spans="1:5" ht="12.95" customHeight="1">
      <c r="C112" s="66" t="s">
        <v>49</v>
      </c>
      <c r="D112" s="61">
        <f>'HSH Sum'!B53</f>
        <v>2951837</v>
      </c>
      <c r="E112" s="673">
        <f t="shared" si="2"/>
        <v>2E-3</v>
      </c>
    </row>
    <row r="113" spans="3:5" ht="12.95" customHeight="1">
      <c r="C113" s="62" t="s">
        <v>84</v>
      </c>
      <c r="D113" s="61">
        <f>'HSH Sum'!B45</f>
        <v>430638402</v>
      </c>
      <c r="E113" s="673">
        <f t="shared" si="2"/>
        <v>0.26800000000000002</v>
      </c>
    </row>
    <row r="114" spans="3:5" ht="12.95" customHeight="1">
      <c r="C114" s="58"/>
      <c r="D114" s="58"/>
      <c r="E114" s="674"/>
    </row>
    <row r="115" spans="3:5" ht="12.95" customHeight="1">
      <c r="C115" s="70" t="s">
        <v>72</v>
      </c>
      <c r="D115" s="64">
        <f>SUM(D102:D114)</f>
        <v>1607525824</v>
      </c>
      <c r="E115" s="674">
        <f>SUM(E102:E113)</f>
        <v>1.0010000000000003</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$1,607,525,824</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7109375" style="74" customWidth="1"/>
    <col min="16" max="16384" width="9.140625" style="74"/>
  </cols>
  <sheetData>
    <row r="1" spans="1:15" ht="17.25" thickTop="1" thickBot="1">
      <c r="A1" s="141" t="str">
        <f>'HSH Chts'!$A$1</f>
        <v>The University of Texas Health Science Center at Houston</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11618</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4887.8900000000003</v>
      </c>
      <c r="J6" s="643"/>
      <c r="O6" s="51"/>
    </row>
    <row r="7" spans="1:15">
      <c r="B7" s="79"/>
      <c r="C7" s="5"/>
      <c r="I7" s="683" t="s">
        <v>1114</v>
      </c>
      <c r="J7" s="684"/>
      <c r="O7" s="51"/>
    </row>
    <row r="8" spans="1:15">
      <c r="A8" s="81" t="s">
        <v>74</v>
      </c>
      <c r="B8" s="81"/>
      <c r="C8" s="15"/>
      <c r="I8" s="685">
        <f>VLOOKUP($G$2,FTSELU,11,FALSE)</f>
        <v>1926.48</v>
      </c>
      <c r="J8" s="643"/>
      <c r="O8" s="51"/>
    </row>
    <row r="9" spans="1:15" ht="12.75" customHeight="1" thickBot="1">
      <c r="A9" s="78" t="s">
        <v>0</v>
      </c>
      <c r="B9" s="82"/>
      <c r="C9" s="8"/>
      <c r="J9" s="643"/>
      <c r="O9" s="51"/>
    </row>
    <row r="10" spans="1:15" ht="12.75" customHeight="1" thickTop="1">
      <c r="A10" s="74" t="s">
        <v>1108</v>
      </c>
      <c r="B10" s="83">
        <f>'HSH FGD'!M10</f>
        <v>214802895</v>
      </c>
      <c r="C10" s="83">
        <f>ROUND(B10/$C$6,0)</f>
        <v>43946</v>
      </c>
      <c r="D10" s="143">
        <f>'HSH FGD'!F10</f>
        <v>0</v>
      </c>
      <c r="E10" s="143"/>
      <c r="F10" s="84">
        <f>B10-(SUM(D10:E10))</f>
        <v>214802895</v>
      </c>
      <c r="G10" s="980" t="s">
        <v>1</v>
      </c>
      <c r="H10" s="981"/>
      <c r="I10" s="686" t="s">
        <v>1115</v>
      </c>
      <c r="J10" s="644">
        <f>ROUND(F10/$C$6,0)</f>
        <v>43946</v>
      </c>
      <c r="O10" s="51"/>
    </row>
    <row r="11" spans="1:15" ht="12.75" customHeight="1" thickBot="1">
      <c r="A11" s="74" t="s">
        <v>2</v>
      </c>
      <c r="B11" s="86">
        <f>'HSH FGD'!M11</f>
        <v>18810881</v>
      </c>
      <c r="C11" s="86">
        <f t="shared" ref="C11:C14" si="0">ROUND(B11/$C$6,0)</f>
        <v>3848</v>
      </c>
      <c r="D11" s="284">
        <f>'HSH FGD'!F11</f>
        <v>0</v>
      </c>
      <c r="E11" s="73"/>
      <c r="F11" s="566">
        <f t="shared" ref="F11:F14" si="1">B11-(SUM(D11:E11))</f>
        <v>18810881</v>
      </c>
      <c r="G11" s="987">
        <f>SUM(F10:F11)</f>
        <v>233613776</v>
      </c>
      <c r="H11" s="777"/>
      <c r="I11" s="791">
        <f>ROUND($G$11/$C$6,0)</f>
        <v>47794</v>
      </c>
      <c r="J11" s="645">
        <f t="shared" ref="J11:J14" si="2">ROUND(F11/$C$6,0)</f>
        <v>3848</v>
      </c>
      <c r="O11" s="51"/>
    </row>
    <row r="12" spans="1:15" ht="12.75" hidden="1" customHeight="1" thickTop="1" thickBot="1">
      <c r="A12" s="74" t="s">
        <v>1345</v>
      </c>
      <c r="B12" s="86"/>
      <c r="C12" s="86"/>
      <c r="D12" s="284"/>
      <c r="E12" s="73"/>
      <c r="F12" s="567"/>
      <c r="J12" s="645"/>
      <c r="O12" s="568"/>
    </row>
    <row r="13" spans="1:15" ht="12.75" customHeight="1" thickTop="1">
      <c r="A13" s="74" t="s">
        <v>1298</v>
      </c>
      <c r="B13" s="86">
        <f>'HSH FGD'!M13</f>
        <v>0</v>
      </c>
      <c r="C13" s="86">
        <f t="shared" si="0"/>
        <v>0</v>
      </c>
      <c r="D13" s="284">
        <f>'HSH FGD'!F13</f>
        <v>0</v>
      </c>
      <c r="E13" s="73"/>
      <c r="F13" s="786">
        <f t="shared" si="1"/>
        <v>0</v>
      </c>
      <c r="G13" s="780" t="s">
        <v>86</v>
      </c>
      <c r="H13" s="787"/>
      <c r="I13" s="731" t="s">
        <v>1116</v>
      </c>
      <c r="J13" s="645">
        <f t="shared" si="2"/>
        <v>0</v>
      </c>
      <c r="O13" s="51"/>
    </row>
    <row r="14" spans="1:15" ht="12.75" customHeight="1" thickBot="1">
      <c r="A14" s="74" t="s">
        <v>46</v>
      </c>
      <c r="B14" s="86">
        <f>'HSH FGD'!M14</f>
        <v>0</v>
      </c>
      <c r="C14" s="86">
        <f t="shared" si="0"/>
        <v>0</v>
      </c>
      <c r="D14" s="284">
        <f>'HSH FGD'!F14</f>
        <v>0</v>
      </c>
      <c r="E14" s="73"/>
      <c r="F14" s="567">
        <f t="shared" si="1"/>
        <v>0</v>
      </c>
      <c r="G14" s="687">
        <f>SUM(F13:F14)</f>
        <v>0</v>
      </c>
      <c r="H14" s="788"/>
      <c r="I14" s="792">
        <f>ROUND($G$11/$I$8,0)</f>
        <v>121265</v>
      </c>
      <c r="J14" s="689">
        <f t="shared" si="2"/>
        <v>0</v>
      </c>
      <c r="O14" s="51"/>
    </row>
    <row r="15" spans="1:15" ht="12.75" customHeight="1" thickTop="1">
      <c r="A15" s="87" t="s">
        <v>3</v>
      </c>
      <c r="B15" s="88">
        <f>SUM(B10:B14)</f>
        <v>233613776</v>
      </c>
      <c r="C15" s="88">
        <f>SUM(C10:C14)</f>
        <v>47794</v>
      </c>
      <c r="D15" s="88">
        <f>SUM(D10:D14)</f>
        <v>0</v>
      </c>
      <c r="E15" s="88">
        <f>SUM(E10:E14)</f>
        <v>0</v>
      </c>
      <c r="F15" s="646">
        <f>SUM(F10:F14)</f>
        <v>233613776</v>
      </c>
      <c r="I15" s="785"/>
      <c r="J15" s="669">
        <f>SUM(J10:J14)</f>
        <v>47794</v>
      </c>
      <c r="O15" s="51"/>
    </row>
    <row r="16" spans="1:15">
      <c r="C16" s="74"/>
      <c r="J16" s="643"/>
      <c r="O16" s="51"/>
    </row>
    <row r="17" spans="1:15" ht="12.75" customHeight="1">
      <c r="A17" s="78" t="s">
        <v>4</v>
      </c>
      <c r="C17" s="74"/>
      <c r="J17" s="643"/>
      <c r="O17" s="51"/>
    </row>
    <row r="18" spans="1:15">
      <c r="A18" s="74" t="s">
        <v>37</v>
      </c>
      <c r="B18" s="83">
        <f>'HSH FGD'!M29</f>
        <v>45123208</v>
      </c>
      <c r="C18" s="83">
        <f t="shared" ref="C18:C19" si="3">ROUND(B18/$C$6,0)</f>
        <v>9232</v>
      </c>
      <c r="D18" s="143">
        <f>'HSH FGD'!$F$29</f>
        <v>0</v>
      </c>
      <c r="E18" s="143"/>
      <c r="F18" s="143">
        <f t="shared" ref="F18:F19" si="4">B18-(SUM(D18:E18))</f>
        <v>45123208</v>
      </c>
      <c r="G18" s="351"/>
      <c r="H18" s="351"/>
      <c r="I18" s="351"/>
      <c r="J18" s="644">
        <f>ROUND(F18/$C$6,0)</f>
        <v>9232</v>
      </c>
      <c r="O18" s="51"/>
    </row>
    <row r="19" spans="1:15" ht="13.5" thickBot="1">
      <c r="A19" s="74" t="s">
        <v>38</v>
      </c>
      <c r="B19" s="86">
        <f>'HSH FGD'!M42</f>
        <v>11513734</v>
      </c>
      <c r="C19" s="86">
        <f t="shared" si="3"/>
        <v>2356</v>
      </c>
      <c r="D19" s="73">
        <f>'HSH FGD'!$F$42</f>
        <v>2426546</v>
      </c>
      <c r="E19" s="73"/>
      <c r="F19" s="73">
        <f t="shared" si="4"/>
        <v>9087188</v>
      </c>
      <c r="G19" s="351"/>
      <c r="H19" s="351"/>
      <c r="I19" s="351"/>
      <c r="J19" s="645">
        <f>ROUND(F19/$C$6,0)</f>
        <v>1859</v>
      </c>
      <c r="O19" s="51"/>
    </row>
    <row r="20" spans="1:15" ht="14.25" thickTop="1" thickBot="1">
      <c r="A20" s="87" t="s">
        <v>5</v>
      </c>
      <c r="B20" s="88">
        <f>SUM(B18:B19)</f>
        <v>56636942</v>
      </c>
      <c r="C20" s="88">
        <f>SUM(C18:C19)</f>
        <v>11588</v>
      </c>
      <c r="D20" s="647">
        <f>SUM(D18:D19)</f>
        <v>2426546</v>
      </c>
      <c r="E20" s="648">
        <f>SUM(E18:E19)</f>
        <v>0</v>
      </c>
      <c r="F20" s="690">
        <f>SUM(F18:F19)</f>
        <v>54210396</v>
      </c>
      <c r="G20" s="650" t="s">
        <v>87</v>
      </c>
      <c r="H20" s="569"/>
      <c r="I20" s="570"/>
      <c r="J20" s="651">
        <f>SUM(J18:J19)</f>
        <v>11091</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'HSH FGD'!M47</f>
        <v>156372343</v>
      </c>
      <c r="C23" s="88"/>
      <c r="D23" s="647">
        <f>'HSH FGD'!F47</f>
        <v>0</v>
      </c>
      <c r="E23" s="648"/>
      <c r="F23" s="690">
        <f>B23-(SUM(D23:E23))</f>
        <v>156372343</v>
      </c>
      <c r="G23" s="652" t="s">
        <v>1162</v>
      </c>
      <c r="H23" s="569"/>
      <c r="I23" s="570"/>
      <c r="J23" s="668">
        <f>ROUND(F23/$C$6,0)</f>
        <v>31992</v>
      </c>
      <c r="O23" s="51"/>
    </row>
    <row r="24" spans="1:15" ht="13.5" customHeight="1" thickTop="1">
      <c r="C24" s="74"/>
      <c r="J24" s="643"/>
      <c r="O24" s="51"/>
    </row>
    <row r="25" spans="1:15">
      <c r="A25" s="78" t="s">
        <v>57</v>
      </c>
      <c r="C25" s="74"/>
      <c r="D25" s="73"/>
      <c r="H25" s="351"/>
      <c r="J25" s="643"/>
      <c r="O25" s="51"/>
    </row>
    <row r="26" spans="1:15">
      <c r="A26" s="87" t="s">
        <v>56</v>
      </c>
      <c r="B26" s="88">
        <f>'HSH FGD'!M50</f>
        <v>368873422</v>
      </c>
      <c r="C26" s="88"/>
      <c r="D26" s="88">
        <f>'HSH FGD'!F50</f>
        <v>0</v>
      </c>
      <c r="E26" s="88">
        <f>B26-D26</f>
        <v>368873422</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'HSH FGD'!M53</f>
        <v>71985820</v>
      </c>
      <c r="C29" s="88"/>
      <c r="D29" s="88">
        <f>'HSH FGD'!F53</f>
        <v>0</v>
      </c>
      <c r="E29" s="88">
        <f>B29-D29</f>
        <v>71985820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'HSH FGD'!M56</f>
        <v>57171456</v>
      </c>
      <c r="C32" s="83"/>
      <c r="D32" s="143">
        <f>'HSH FGD'!F56</f>
        <v>875859</v>
      </c>
      <c r="E32" s="143"/>
      <c r="F32" s="143">
        <f t="shared" ref="F32:F37" si="7">B32-(SUM(D32:E32))</f>
        <v>56295597</v>
      </c>
      <c r="G32" s="351"/>
      <c r="H32" s="351"/>
      <c r="I32" s="351"/>
      <c r="J32" s="644">
        <f>ROUND(F32/$C$6,0)</f>
        <v>11517</v>
      </c>
      <c r="O32" s="51"/>
    </row>
    <row r="33" spans="1:30">
      <c r="A33" s="74" t="s">
        <v>9</v>
      </c>
      <c r="B33" s="86">
        <f>'HSH FGD'!M57</f>
        <v>436379382</v>
      </c>
      <c r="C33" s="86"/>
      <c r="D33" s="284">
        <f>'HSH FGD'!F57</f>
        <v>0</v>
      </c>
      <c r="E33" s="73"/>
      <c r="F33" s="73">
        <f t="shared" si="7"/>
        <v>436379382</v>
      </c>
      <c r="G33" s="351"/>
      <c r="H33" s="351"/>
      <c r="I33" s="351"/>
      <c r="J33" s="645">
        <f t="shared" ref="J33:J37" si="8">ROUND(F33/$C$6,0)</f>
        <v>89278</v>
      </c>
      <c r="O33" s="51"/>
    </row>
    <row r="34" spans="1:30" ht="13.5" thickBot="1">
      <c r="A34" s="74" t="s">
        <v>10</v>
      </c>
      <c r="B34" s="86">
        <f>'HSH FGD'!M58</f>
        <v>164397593</v>
      </c>
      <c r="C34" s="86"/>
      <c r="D34" s="284">
        <f>'HSH FGD'!F58</f>
        <v>0</v>
      </c>
      <c r="E34" s="73"/>
      <c r="F34" s="73">
        <f t="shared" si="7"/>
        <v>164397593</v>
      </c>
      <c r="G34" s="351"/>
      <c r="H34" s="351"/>
      <c r="I34" s="351"/>
      <c r="J34" s="645">
        <f t="shared" si="8"/>
        <v>33634</v>
      </c>
      <c r="O34" s="51"/>
    </row>
    <row r="35" spans="1:30" ht="13.5" thickBot="1">
      <c r="A35" s="74" t="s">
        <v>11</v>
      </c>
      <c r="B35" s="86">
        <f>'HSH FGD'!M59</f>
        <v>37579867</v>
      </c>
      <c r="C35" s="86"/>
      <c r="D35" s="284">
        <f>'HSH FGD'!F59</f>
        <v>0</v>
      </c>
      <c r="E35" s="73"/>
      <c r="F35" s="73">
        <f t="shared" si="7"/>
        <v>37579867</v>
      </c>
      <c r="G35" s="351"/>
      <c r="H35" s="351"/>
      <c r="I35" s="351"/>
      <c r="J35" s="645">
        <f t="shared" si="8"/>
        <v>7688</v>
      </c>
      <c r="K35" s="1262"/>
      <c r="L35" s="1245"/>
      <c r="M35" s="1245"/>
      <c r="N35" s="1245"/>
      <c r="O35" s="1246"/>
    </row>
    <row r="36" spans="1:30" ht="13.5" thickBot="1">
      <c r="A36" s="92" t="s">
        <v>1362</v>
      </c>
      <c r="B36" s="86">
        <f>'HSH FGD'!M60</f>
        <v>27162590</v>
      </c>
      <c r="C36" s="86"/>
      <c r="D36" s="284">
        <f>'HSH FGD'!F60</f>
        <v>27162590</v>
      </c>
      <c r="E36" s="73"/>
      <c r="F36" s="73">
        <f t="shared" si="7"/>
        <v>0</v>
      </c>
      <c r="G36" s="351"/>
      <c r="H36" s="351"/>
      <c r="I36" s="351"/>
      <c r="J36" s="645">
        <f t="shared" si="8"/>
        <v>0</v>
      </c>
      <c r="K36" s="1262" t="s">
        <v>1017</v>
      </c>
      <c r="L36" s="1245"/>
      <c r="M36" s="1245"/>
      <c r="N36" s="1245"/>
      <c r="O36" s="1246"/>
    </row>
    <row r="37" spans="1:30" ht="13.5" customHeight="1" thickBot="1">
      <c r="A37" s="93" t="s">
        <v>41</v>
      </c>
      <c r="B37" s="86">
        <f>'HSH FGD'!M61</f>
        <v>75969439</v>
      </c>
      <c r="C37" s="86"/>
      <c r="D37" s="284">
        <f>'HSH FGD'!F61</f>
        <v>0</v>
      </c>
      <c r="E37" s="73"/>
      <c r="F37" s="73">
        <f t="shared" si="7"/>
        <v>75969439</v>
      </c>
      <c r="G37" s="24"/>
      <c r="H37" s="24"/>
      <c r="I37" s="577"/>
      <c r="J37" s="645">
        <f t="shared" si="8"/>
        <v>15542</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798660327</v>
      </c>
      <c r="C38" s="88"/>
      <c r="D38" s="291">
        <f>SUM(D32:D37)</f>
        <v>28038449</v>
      </c>
      <c r="E38" s="291">
        <f>SUM(E32:E37)</f>
        <v>0</v>
      </c>
      <c r="F38" s="692">
        <f>SUM(F32:F37)</f>
        <v>770621878</v>
      </c>
      <c r="G38" s="1259" t="s">
        <v>8</v>
      </c>
      <c r="H38" s="1260"/>
      <c r="I38" s="693" t="s">
        <v>1118</v>
      </c>
      <c r="J38" s="653">
        <f>SUM(J32:J37)</f>
        <v>157659</v>
      </c>
      <c r="K38" s="1264"/>
      <c r="L38" s="1264"/>
      <c r="M38" s="1264"/>
      <c r="N38" s="1264" t="s">
        <v>1021</v>
      </c>
      <c r="O38" s="1264" t="s">
        <v>1022</v>
      </c>
    </row>
    <row r="39" spans="1:30" ht="13.5" thickTop="1">
      <c r="A39" s="94" t="s">
        <v>71</v>
      </c>
      <c r="B39" s="47">
        <f>B15+B20+B23+B26+B29+B38</f>
        <v>1686142630</v>
      </c>
      <c r="C39" s="139"/>
      <c r="D39" s="47">
        <f>D15+D20+D23+D26+D29+D38</f>
        <v>30464995</v>
      </c>
      <c r="E39" s="47">
        <f>E15+E20+E23+E26+E29+E38</f>
        <v>440859242</v>
      </c>
      <c r="F39" s="778">
        <f>F38+F23+F20+F15</f>
        <v>1214818393</v>
      </c>
      <c r="G39" s="1261" t="s">
        <v>89</v>
      </c>
      <c r="H39" s="1261"/>
      <c r="I39" s="793">
        <f>ROUND($G$41/$C$6,0)</f>
        <v>248536</v>
      </c>
      <c r="J39" s="654">
        <f>J15+J20+J23+J38</f>
        <v>248536</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1214818393</v>
      </c>
      <c r="I41" s="1046">
        <f>ROUND($G$41/$I$8,0)</f>
        <v>630590</v>
      </c>
      <c r="K41" s="571"/>
      <c r="L41" s="571"/>
      <c r="M41" s="571"/>
      <c r="N41" s="571"/>
      <c r="O41" s="571"/>
    </row>
    <row r="42" spans="1:30" ht="13.5" thickTop="1">
      <c r="A42" s="95" t="s">
        <v>14</v>
      </c>
      <c r="B42" s="83">
        <f>'HSH FGD'!M65</f>
        <v>717084884</v>
      </c>
      <c r="C42" s="83">
        <f t="shared" ref="C42:C52" si="9">ROUND(B42/$C$6,0)</f>
        <v>146706</v>
      </c>
      <c r="D42" s="143">
        <f>'HSH FGD'!F65</f>
        <v>0</v>
      </c>
      <c r="E42" s="143"/>
      <c r="F42" s="143">
        <f t="shared" ref="F42" si="10">B42-(SUM(D42:E42))</f>
        <v>717084884</v>
      </c>
      <c r="G42" s="351"/>
      <c r="H42" s="1048" t="s">
        <v>1394</v>
      </c>
      <c r="I42" s="1047">
        <f>ROUND(F42/$C$6,0)</f>
        <v>146706</v>
      </c>
      <c r="J42" s="351" t="s">
        <v>669</v>
      </c>
      <c r="K42" s="143">
        <f>F42</f>
        <v>717084884</v>
      </c>
      <c r="L42" s="143">
        <f>K42</f>
        <v>717084884</v>
      </c>
      <c r="M42" s="143"/>
      <c r="N42" s="143"/>
      <c r="O42" s="143"/>
    </row>
    <row r="43" spans="1:30">
      <c r="A43" s="95" t="s">
        <v>15</v>
      </c>
      <c r="B43" s="86">
        <f>'HSH FGD'!M66</f>
        <v>199048552</v>
      </c>
      <c r="C43" s="86">
        <f t="shared" si="9"/>
        <v>40723</v>
      </c>
      <c r="D43" s="357">
        <f>'HSH FGD'!F66</f>
        <v>0</v>
      </c>
      <c r="E43" s="73"/>
      <c r="F43" s="73">
        <f t="shared" ref="F43:F44" si="11">B43-(SUM(D43:E43))</f>
        <v>199048552</v>
      </c>
      <c r="G43" s="351"/>
      <c r="H43" s="351"/>
      <c r="J43" s="351" t="s">
        <v>1093</v>
      </c>
      <c r="K43" s="357">
        <f>F43</f>
        <v>199048552</v>
      </c>
      <c r="L43" s="357">
        <f>K43</f>
        <v>199048552</v>
      </c>
      <c r="M43" s="357"/>
      <c r="N43" s="357"/>
      <c r="O43" s="357"/>
    </row>
    <row r="44" spans="1:30">
      <c r="A44" s="95" t="s">
        <v>16</v>
      </c>
      <c r="B44" s="86">
        <f>'HSH FGD'!M67</f>
        <v>31435559</v>
      </c>
      <c r="C44" s="86"/>
      <c r="D44" s="357">
        <f>'HSH FGD'!F67</f>
        <v>0</v>
      </c>
      <c r="E44" s="284">
        <f>B44-D44</f>
        <v>31435559</v>
      </c>
      <c r="F44" s="73">
        <f t="shared" si="11"/>
        <v>0</v>
      </c>
      <c r="G44" s="351"/>
      <c r="H44" s="351"/>
      <c r="I44" s="351"/>
      <c r="J44" s="351" t="s">
        <v>1094</v>
      </c>
      <c r="K44" s="670"/>
      <c r="L44" s="671"/>
      <c r="M44" s="671" t="s">
        <v>1095</v>
      </c>
      <c r="N44" s="671"/>
      <c r="O44" s="672"/>
    </row>
    <row r="45" spans="1:30">
      <c r="A45" s="96" t="s">
        <v>55</v>
      </c>
      <c r="B45" s="86">
        <f>'HSH FGD'!M68</f>
        <v>430638402</v>
      </c>
      <c r="C45" s="86"/>
      <c r="D45" s="357">
        <f>'HSH FGD'!F68</f>
        <v>0</v>
      </c>
      <c r="E45" s="284">
        <f>B45-D45</f>
        <v>430638402</v>
      </c>
      <c r="F45" s="73">
        <f t="shared" ref="F45" si="12">B45-(SUM(D45:E45))</f>
        <v>0</v>
      </c>
      <c r="G45" s="776"/>
      <c r="J45" s="51" t="s">
        <v>1096</v>
      </c>
      <c r="K45" s="1266" t="s">
        <v>1095</v>
      </c>
      <c r="L45" s="1267"/>
      <c r="M45" s="1267"/>
      <c r="N45" s="1267"/>
      <c r="O45" s="1268"/>
    </row>
    <row r="46" spans="1:30">
      <c r="A46" s="95" t="s">
        <v>17</v>
      </c>
      <c r="B46" s="86">
        <f>'HSH FGD'!M69</f>
        <v>55340893</v>
      </c>
      <c r="C46" s="86">
        <f t="shared" si="9"/>
        <v>11322</v>
      </c>
      <c r="D46" s="357">
        <f>'HSH FGD'!F69</f>
        <v>0</v>
      </c>
      <c r="E46" s="73"/>
      <c r="F46" s="73">
        <f t="shared" ref="F46:F53" si="13">B46-(SUM(D46:E46))</f>
        <v>55340893</v>
      </c>
      <c r="G46" s="351"/>
      <c r="H46" s="1048" t="s">
        <v>1395</v>
      </c>
      <c r="I46" s="1047">
        <f>ROUND(F46/$C$6,0)</f>
        <v>11322</v>
      </c>
      <c r="J46" s="351" t="s">
        <v>1097</v>
      </c>
      <c r="K46" s="357">
        <f t="shared" ref="K46:K50" si="14">F46</f>
        <v>55340893</v>
      </c>
      <c r="L46" s="357">
        <f>K46</f>
        <v>55340893</v>
      </c>
      <c r="M46" s="357"/>
      <c r="N46" s="357"/>
      <c r="O46" s="357"/>
    </row>
    <row r="47" spans="1:30">
      <c r="A47" s="95" t="s">
        <v>18</v>
      </c>
      <c r="B47" s="86">
        <f>'HSH FGD'!M70</f>
        <v>9150310</v>
      </c>
      <c r="C47" s="86">
        <f t="shared" si="9"/>
        <v>1872</v>
      </c>
      <c r="D47" s="357">
        <f>'HSH FGD'!F70</f>
        <v>0</v>
      </c>
      <c r="E47" s="73"/>
      <c r="F47" s="73">
        <f t="shared" si="13"/>
        <v>9150310</v>
      </c>
      <c r="G47" s="351"/>
      <c r="H47" s="351"/>
      <c r="I47" s="351"/>
      <c r="J47" s="351" t="s">
        <v>1098</v>
      </c>
      <c r="K47" s="357">
        <f t="shared" si="14"/>
        <v>9150310</v>
      </c>
      <c r="L47" s="357"/>
      <c r="M47" s="357">
        <f>K47</f>
        <v>9150310</v>
      </c>
      <c r="N47" s="357"/>
      <c r="O47" s="357"/>
    </row>
    <row r="48" spans="1:30">
      <c r="A48" s="95" t="s">
        <v>19</v>
      </c>
      <c r="B48" s="86">
        <f>'HSH FGD'!M71</f>
        <v>77137846</v>
      </c>
      <c r="C48" s="86">
        <f t="shared" si="9"/>
        <v>15781</v>
      </c>
      <c r="D48" s="357">
        <f>'HSH FGD'!F71</f>
        <v>0</v>
      </c>
      <c r="E48" s="73"/>
      <c r="F48" s="73">
        <f t="shared" si="13"/>
        <v>77137846</v>
      </c>
      <c r="G48" s="351"/>
      <c r="H48" s="1048" t="s">
        <v>1396</v>
      </c>
      <c r="I48" s="1047">
        <f>ROUND(F48/$C$6,0)</f>
        <v>15781</v>
      </c>
      <c r="J48" s="351" t="s">
        <v>675</v>
      </c>
      <c r="K48" s="357">
        <f t="shared" si="14"/>
        <v>77137846</v>
      </c>
      <c r="L48" s="357"/>
      <c r="M48" s="357"/>
      <c r="N48" s="357">
        <f>K48</f>
        <v>77137846</v>
      </c>
      <c r="O48" s="357"/>
    </row>
    <row r="49" spans="1:30">
      <c r="A49" s="95" t="s">
        <v>20</v>
      </c>
      <c r="B49" s="86">
        <f>'HSH FGD'!M72</f>
        <v>43942794</v>
      </c>
      <c r="C49" s="86"/>
      <c r="D49" s="357">
        <f>'HSH FGD'!F72</f>
        <v>0</v>
      </c>
      <c r="E49" s="73"/>
      <c r="F49" s="73">
        <f t="shared" si="13"/>
        <v>43942794</v>
      </c>
      <c r="G49" s="351"/>
      <c r="H49" s="351"/>
      <c r="I49" s="351"/>
      <c r="J49" s="351" t="s">
        <v>676</v>
      </c>
      <c r="K49" s="357">
        <f t="shared" si="14"/>
        <v>43942794</v>
      </c>
      <c r="L49" s="357"/>
      <c r="M49" s="357"/>
      <c r="N49" s="357">
        <f>K49</f>
        <v>43942794</v>
      </c>
      <c r="O49" s="357"/>
    </row>
    <row r="50" spans="1:30">
      <c r="A50" s="95" t="s">
        <v>21</v>
      </c>
      <c r="B50" s="86">
        <f>'HSH FGD'!M73</f>
        <v>9668012</v>
      </c>
      <c r="C50" s="86">
        <f t="shared" si="9"/>
        <v>1978</v>
      </c>
      <c r="D50" s="357">
        <f>'HSH FGD'!F73</f>
        <v>0</v>
      </c>
      <c r="E50" s="73"/>
      <c r="F50" s="73">
        <f t="shared" si="13"/>
        <v>9668012</v>
      </c>
      <c r="G50" s="351"/>
      <c r="H50" s="351"/>
      <c r="I50" s="351"/>
      <c r="J50" s="351" t="s">
        <v>1099</v>
      </c>
      <c r="K50" s="357">
        <f t="shared" si="14"/>
        <v>9668012</v>
      </c>
      <c r="L50" s="357"/>
      <c r="M50" s="357">
        <f>K50</f>
        <v>9668012</v>
      </c>
      <c r="N50" s="357"/>
      <c r="O50" s="357"/>
    </row>
    <row r="51" spans="1:30">
      <c r="A51" s="95" t="s">
        <v>1363</v>
      </c>
      <c r="B51" s="86">
        <f>'HSH FGD'!M74</f>
        <v>17062069</v>
      </c>
      <c r="C51" s="86"/>
      <c r="D51" s="657">
        <f>B51</f>
        <v>17062069</v>
      </c>
      <c r="E51" s="73"/>
      <c r="F51" s="73">
        <f t="shared" si="13"/>
        <v>0</v>
      </c>
      <c r="G51" s="351"/>
      <c r="H51" s="351"/>
      <c r="I51" s="351"/>
      <c r="J51" s="351" t="s">
        <v>660</v>
      </c>
      <c r="K51" s="670"/>
      <c r="L51" s="671"/>
      <c r="M51" s="671" t="s">
        <v>1095</v>
      </c>
      <c r="N51" s="671"/>
      <c r="O51" s="672"/>
    </row>
    <row r="52" spans="1:30">
      <c r="A52" s="95" t="s">
        <v>65</v>
      </c>
      <c r="B52" s="86">
        <f>'HSH FGD'!M75</f>
        <v>14064666</v>
      </c>
      <c r="C52" s="86">
        <f t="shared" si="9"/>
        <v>2877</v>
      </c>
      <c r="D52" s="357">
        <f>'HSH FGD'!F75</f>
        <v>82625</v>
      </c>
      <c r="E52" s="73"/>
      <c r="F52" s="73">
        <f t="shared" si="13"/>
        <v>13982041</v>
      </c>
      <c r="G52" s="351"/>
      <c r="J52" s="351" t="s">
        <v>1100</v>
      </c>
      <c r="K52" s="357">
        <f t="shared" ref="K52:K53" si="15">F52</f>
        <v>13982041</v>
      </c>
      <c r="L52" s="357"/>
      <c r="M52" s="357"/>
      <c r="N52" s="357"/>
      <c r="O52" s="357">
        <f>K52</f>
        <v>13982041</v>
      </c>
    </row>
    <row r="53" spans="1:30" ht="13.5" thickBot="1">
      <c r="A53" s="74" t="s">
        <v>47</v>
      </c>
      <c r="B53" s="86">
        <f>'HSH FGD'!M76</f>
        <v>2951837</v>
      </c>
      <c r="C53" s="86"/>
      <c r="D53" s="357">
        <f>'HSH FGD'!F76</f>
        <v>0</v>
      </c>
      <c r="E53" s="73"/>
      <c r="F53" s="73">
        <f t="shared" si="13"/>
        <v>2951837</v>
      </c>
      <c r="G53" s="24"/>
      <c r="H53" s="1048" t="s">
        <v>1397</v>
      </c>
      <c r="I53" s="1047">
        <f>ROUND(SUM(F43+F47+F49+F50+F52+F53)/$C$6,0)</f>
        <v>57027</v>
      </c>
      <c r="J53" s="572" t="s">
        <v>1022</v>
      </c>
      <c r="K53" s="357">
        <f t="shared" si="15"/>
        <v>2951837</v>
      </c>
      <c r="L53" s="573"/>
      <c r="M53" s="573"/>
      <c r="N53" s="573"/>
      <c r="O53" s="357">
        <f>K53</f>
        <v>2951837</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1607525824</v>
      </c>
      <c r="C54" s="48">
        <f>SUM(C42:C53)</f>
        <v>221259</v>
      </c>
      <c r="D54" s="48">
        <f>SUM(D42:D53)</f>
        <v>17144694</v>
      </c>
      <c r="E54" s="698">
        <f>SUM(E43:E53)</f>
        <v>462073961</v>
      </c>
      <c r="F54" s="649">
        <f>SUM(F42:F53)</f>
        <v>1128307169</v>
      </c>
      <c r="G54" s="1279" t="s">
        <v>1121</v>
      </c>
      <c r="H54" s="1280"/>
      <c r="I54" s="697" t="s">
        <v>1398</v>
      </c>
      <c r="J54" s="572" t="s">
        <v>1101</v>
      </c>
      <c r="K54" s="574">
        <f>SUM(K42:K53)</f>
        <v>1128307169</v>
      </c>
      <c r="L54" s="574">
        <f t="shared" ref="L54:O54" si="16">SUM(L42:L53)</f>
        <v>971474329</v>
      </c>
      <c r="M54" s="574">
        <f t="shared" si="16"/>
        <v>18818322</v>
      </c>
      <c r="N54" s="574">
        <f t="shared" si="16"/>
        <v>121080640</v>
      </c>
      <c r="O54" s="574">
        <f t="shared" si="16"/>
        <v>16933878</v>
      </c>
    </row>
    <row r="55" spans="1:30" ht="14.25" customHeight="1" thickTop="1" thickBot="1">
      <c r="A55" s="92"/>
      <c r="C55" s="74"/>
      <c r="F55" s="575"/>
      <c r="G55" s="1281"/>
      <c r="H55" s="1282"/>
      <c r="I55" s="699">
        <f>ROUND(F54/C6,0)</f>
        <v>230837</v>
      </c>
      <c r="J55" s="1258" t="s">
        <v>1102</v>
      </c>
      <c r="K55" s="573"/>
      <c r="L55" s="573"/>
      <c r="M55" s="573"/>
      <c r="N55" s="573"/>
      <c r="O55" s="573"/>
    </row>
    <row r="56" spans="1:30" ht="16.5" customHeight="1" thickBot="1">
      <c r="A56" s="78" t="s">
        <v>23</v>
      </c>
      <c r="C56" s="74"/>
      <c r="F56" s="576"/>
      <c r="G56" s="1283"/>
      <c r="H56" s="1284"/>
      <c r="I56" s="693" t="s">
        <v>1399</v>
      </c>
      <c r="J56" s="1258"/>
      <c r="K56" s="700">
        <f>ROUND(K54/$C$6,2)</f>
        <v>230837.27</v>
      </c>
      <c r="L56" s="700">
        <f t="shared" ref="L56:O56" si="17">ROUND(L54/$C$6,2)</f>
        <v>198751.27</v>
      </c>
      <c r="M56" s="700">
        <f t="shared" si="17"/>
        <v>3849.99</v>
      </c>
      <c r="N56" s="700">
        <f t="shared" si="17"/>
        <v>24771.56</v>
      </c>
      <c r="O56" s="700">
        <f t="shared" si="17"/>
        <v>3464.46</v>
      </c>
      <c r="P56" s="89"/>
      <c r="Q56" s="89"/>
      <c r="R56" s="89"/>
      <c r="S56" s="89"/>
      <c r="T56" s="89"/>
      <c r="U56" s="89"/>
      <c r="V56" s="89"/>
      <c r="W56" s="89"/>
      <c r="X56" s="89"/>
      <c r="Y56" s="89"/>
      <c r="Z56" s="89"/>
      <c r="AA56" s="89"/>
      <c r="AB56" s="89"/>
      <c r="AC56" s="89"/>
      <c r="AD56" s="89"/>
    </row>
    <row r="57" spans="1:30" ht="13.5" thickTop="1">
      <c r="A57" s="74" t="s">
        <v>66</v>
      </c>
      <c r="B57" s="86">
        <f>'HSH FGD'!M80</f>
        <v>-60822385</v>
      </c>
      <c r="C57" s="86"/>
      <c r="D57" s="143">
        <f>'HSH FGD'!F80</f>
        <v>0</v>
      </c>
      <c r="E57" s="143"/>
      <c r="F57" s="1045">
        <f t="shared" ref="F57:F60" si="18">B57-(SUM(D57:E57))</f>
        <v>-60822385</v>
      </c>
      <c r="G57" s="780"/>
      <c r="I57" s="696">
        <f>ROUND($F$54/$I$8,0)</f>
        <v>585683</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'HSH FGD'!M81</f>
        <v>2204215</v>
      </c>
      <c r="C58" s="86"/>
      <c r="D58" s="285">
        <f>'HSH FGD'!F81</f>
        <v>-23596418</v>
      </c>
      <c r="E58" s="82"/>
      <c r="F58" s="73">
        <f t="shared" si="18"/>
        <v>25800633</v>
      </c>
      <c r="G58" s="351"/>
      <c r="J58" s="351"/>
      <c r="K58" s="578"/>
      <c r="L58" s="578"/>
      <c r="M58" s="578"/>
      <c r="N58" s="578"/>
      <c r="O58" s="578"/>
    </row>
    <row r="59" spans="1:30">
      <c r="A59" s="98" t="s">
        <v>52</v>
      </c>
      <c r="B59" s="86">
        <f>'HSH FGD'!M82</f>
        <v>29186732</v>
      </c>
      <c r="C59" s="86"/>
      <c r="D59" s="285">
        <f>'HSH FGD'!F82</f>
        <v>0</v>
      </c>
      <c r="E59" s="82"/>
      <c r="F59" s="73">
        <f t="shared" si="18"/>
        <v>29186732</v>
      </c>
      <c r="G59" s="24"/>
      <c r="J59" s="658"/>
      <c r="K59" s="658"/>
      <c r="L59" s="658"/>
      <c r="M59" s="658"/>
      <c r="N59" s="658"/>
      <c r="O59" s="658"/>
    </row>
    <row r="60" spans="1:30" ht="12" customHeight="1">
      <c r="A60" s="74" t="s">
        <v>43</v>
      </c>
      <c r="B60" s="86">
        <f>'HSH FGD'!M83</f>
        <v>-31448050</v>
      </c>
      <c r="C60" s="86"/>
      <c r="D60" s="285">
        <f>'HSH FGD'!F83</f>
        <v>-4900841</v>
      </c>
      <c r="E60" s="82"/>
      <c r="F60" s="73">
        <f t="shared" si="18"/>
        <v>-26547209</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-60879488</v>
      </c>
      <c r="C61" s="88"/>
      <c r="D61" s="88">
        <f>SUM(D57:D60)</f>
        <v>-28497259</v>
      </c>
      <c r="E61" s="88">
        <f>SUM(E57:E60)</f>
        <v>0</v>
      </c>
      <c r="F61" s="99">
        <f>SUM(F57:F60)</f>
        <v>-32382229</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'HSH FGD'!M87</f>
        <v>10585431</v>
      </c>
      <c r="C64" s="86"/>
      <c r="D64" s="143">
        <f>'HSH FGD'!F87</f>
        <v>0</v>
      </c>
      <c r="E64" s="143"/>
      <c r="F64" s="143">
        <f t="shared" ref="F64:F65" si="19">B64-(SUM(D64:E64))</f>
        <v>10585431</v>
      </c>
      <c r="O64" s="51"/>
    </row>
    <row r="65" spans="1:30">
      <c r="A65" s="74" t="s">
        <v>45</v>
      </c>
      <c r="B65" s="86">
        <f>'HSH FGD'!M88</f>
        <v>19439073</v>
      </c>
      <c r="C65" s="86"/>
      <c r="D65" s="285">
        <f>'HSH FGD'!F88</f>
        <v>0</v>
      </c>
      <c r="E65" s="82"/>
      <c r="F65" s="73">
        <f t="shared" si="19"/>
        <v>19439073</v>
      </c>
      <c r="O65" s="51"/>
      <c r="P65" s="89"/>
      <c r="Q65" s="89"/>
      <c r="R65" s="89"/>
      <c r="S65" s="89"/>
      <c r="T65" s="89"/>
      <c r="U65" s="89"/>
      <c r="V65" s="89"/>
      <c r="W65" s="89"/>
      <c r="X65" s="89"/>
      <c r="Y65" s="89"/>
      <c r="Z65" s="89"/>
      <c r="AA65" s="89"/>
      <c r="AB65" s="89"/>
      <c r="AC65" s="89"/>
      <c r="AD65" s="89"/>
    </row>
    <row r="66" spans="1:30" s="92" customFormat="1">
      <c r="A66" s="87" t="s">
        <v>3</v>
      </c>
      <c r="B66" s="88">
        <f>SUM(B64:B65)</f>
        <v>30024504</v>
      </c>
      <c r="C66" s="88"/>
      <c r="D66" s="88">
        <f>SUM(D64:D65)</f>
        <v>0</v>
      </c>
      <c r="E66" s="88">
        <f>SUM(E64:E65)</f>
        <v>0</v>
      </c>
      <c r="F66" s="88">
        <f>SUM(F64:F65)</f>
        <v>30024504</v>
      </c>
      <c r="G66" s="51"/>
      <c r="H66" s="51"/>
      <c r="I66" s="51"/>
      <c r="J66" s="51"/>
      <c r="K66" s="51"/>
      <c r="L66" s="51"/>
      <c r="M66" s="51"/>
      <c r="N66" s="51"/>
      <c r="O66" s="51"/>
    </row>
    <row r="67" spans="1:30">
      <c r="C67" s="74"/>
      <c r="O67" s="51"/>
    </row>
    <row r="68" spans="1:30" ht="13.5" thickBot="1">
      <c r="A68" s="100" t="s">
        <v>616</v>
      </c>
      <c r="B68" s="49">
        <f>B39-B54+B61+B66</f>
        <v>47761822</v>
      </c>
      <c r="C68" s="49"/>
      <c r="D68" s="49">
        <f>D39-D54+D61+D66</f>
        <v>-15176958</v>
      </c>
      <c r="E68" s="49">
        <f>E39-E54+E61+E66</f>
        <v>-21214719</v>
      </c>
      <c r="F68" s="49">
        <f>F39-F54+F61+F66</f>
        <v>84153499</v>
      </c>
      <c r="O68" s="51"/>
    </row>
    <row r="69" spans="1:30" ht="13.5" thickTop="1"/>
    <row r="70" spans="1:30">
      <c r="A70" s="51" t="s">
        <v>1109</v>
      </c>
      <c r="D70" s="143"/>
    </row>
    <row r="71" spans="1:30">
      <c r="A71" s="74" t="s">
        <v>51</v>
      </c>
    </row>
    <row r="72" spans="1:30">
      <c r="B72" s="659">
        <f>'HSH FGD'!$M$91</f>
        <v>47761822</v>
      </c>
      <c r="C72" s="74"/>
      <c r="D72" s="659">
        <f>'HSH FGD'!F91</f>
        <v>-15176958</v>
      </c>
      <c r="E72" s="659">
        <f>'HSH FGD'!M50</f>
        <v>368873422</v>
      </c>
      <c r="F72" s="74"/>
    </row>
    <row r="73" spans="1:30">
      <c r="B73" s="659"/>
      <c r="C73" s="74"/>
      <c r="D73" s="659">
        <f>'HSH FGD'!F74</f>
        <v>17062069</v>
      </c>
      <c r="E73" s="659">
        <f>'HSH FGD'!M53</f>
        <v>71985820</v>
      </c>
      <c r="F73" s="659"/>
    </row>
    <row r="74" spans="1:30">
      <c r="B74" s="676"/>
      <c r="C74" s="92"/>
      <c r="D74" s="676">
        <f>-'HSH FGD'!M74</f>
        <v>-17062069</v>
      </c>
      <c r="E74" s="659">
        <f>-'HSH FGD'!M68</f>
        <v>-430638402</v>
      </c>
      <c r="F74" s="659"/>
    </row>
    <row r="75" spans="1:30">
      <c r="B75" s="676"/>
      <c r="C75" s="74"/>
      <c r="D75" s="676"/>
      <c r="E75" s="676">
        <f>-'HSH FGD'!M67</f>
        <v>-31435559</v>
      </c>
      <c r="F75" s="659"/>
      <c r="G75" s="351"/>
      <c r="H75" s="351"/>
    </row>
    <row r="76" spans="1:30" ht="12.75" customHeight="1">
      <c r="B76" s="675"/>
      <c r="C76" s="74"/>
      <c r="D76" s="675"/>
      <c r="E76" s="675">
        <f>-D26</f>
        <v>0</v>
      </c>
      <c r="F76" s="659"/>
      <c r="G76" s="351"/>
      <c r="H76" s="351"/>
    </row>
    <row r="77" spans="1:30" ht="12.75" customHeight="1">
      <c r="B77" s="659">
        <f>SUM(B72:B76)</f>
        <v>47761822</v>
      </c>
      <c r="C77" s="74"/>
      <c r="D77" s="659">
        <f>SUM(D72:D76)</f>
        <v>-15176958</v>
      </c>
      <c r="E77" s="659">
        <f>SUM(E72:E76)</f>
        <v>-21214719</v>
      </c>
      <c r="F77" s="659">
        <f>B77-D77-E77</f>
        <v>84153499</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47761822</v>
      </c>
      <c r="C80" s="74"/>
      <c r="D80" s="659">
        <f>SUM(D77:D79)</f>
        <v>-15176958</v>
      </c>
      <c r="E80" s="659">
        <f>SUM(E77:E79)</f>
        <v>-21214719</v>
      </c>
      <c r="F80" s="659">
        <f>SUM(F77:F79)</f>
        <v>84153499</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6.2851562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7109375" style="166" customWidth="1"/>
    <col min="14" max="14" width="5.140625" style="166" customWidth="1"/>
    <col min="15" max="15" width="16.1406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'HSH Chts'!$A$1</f>
        <v>The University of Texas Health Science Center at Houston</v>
      </c>
      <c r="C2" s="1273"/>
      <c r="D2" s="1273"/>
      <c r="E2" s="1273"/>
      <c r="F2" s="1273"/>
      <c r="H2" s="174"/>
      <c r="I2" s="149" t="str">
        <f>IF($B$2&lt;&gt;Input!$H$8,"Name Mismatch","")</f>
        <v/>
      </c>
      <c r="K2" s="174"/>
      <c r="L2" s="174"/>
      <c r="M2" s="175"/>
      <c r="O2" s="737" t="s">
        <v>1123</v>
      </c>
      <c r="P2" s="294"/>
    </row>
    <row r="3" spans="1:28" ht="20.25">
      <c r="A3" s="173">
        <v>2</v>
      </c>
      <c r="B3" s="1273" t="str">
        <f>'Smmy Chts'!$A$2</f>
        <v>For the Year Ended August 31, 2018</v>
      </c>
      <c r="C3" s="1273"/>
      <c r="D3" s="1273"/>
      <c r="E3" s="1273"/>
      <c r="F3" s="1273"/>
      <c r="G3" s="174"/>
      <c r="H3" s="174"/>
      <c r="K3" s="174"/>
      <c r="L3" s="174"/>
      <c r="M3" s="175"/>
      <c r="O3" s="73"/>
    </row>
    <row r="4" spans="1:28" ht="20.25">
      <c r="A4" s="173">
        <v>3</v>
      </c>
      <c r="B4" s="1273" t="str">
        <f>'Smmy Chts'!$A$3</f>
        <v>Source: FY 2018 Annual Financial Report</v>
      </c>
      <c r="C4" s="1273"/>
      <c r="D4" s="1273"/>
      <c r="E4" s="1273"/>
      <c r="F4" s="1273"/>
      <c r="G4" s="174"/>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Input!$M$8</f>
        <v>214802895</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214802895</v>
      </c>
      <c r="O10" s="184"/>
      <c r="P10" s="1308" t="s">
        <v>595</v>
      </c>
      <c r="Q10" s="50"/>
      <c r="R10" s="50"/>
      <c r="S10" s="50"/>
      <c r="T10" s="183"/>
      <c r="U10" s="183"/>
      <c r="V10" s="50"/>
      <c r="W10" s="50"/>
      <c r="X10" s="50"/>
      <c r="Y10" s="50"/>
      <c r="Z10" s="50"/>
      <c r="AA10" s="50"/>
      <c r="AB10" s="50"/>
    </row>
    <row r="11" spans="1:28" s="149" customFormat="1">
      <c r="A11" s="147">
        <v>10</v>
      </c>
      <c r="B11" s="149" t="s">
        <v>2</v>
      </c>
      <c r="D11" s="355">
        <f>Input!$V$8</f>
        <v>5688124</v>
      </c>
      <c r="E11" s="355">
        <f>Input!$W$8</f>
        <v>365243</v>
      </c>
      <c r="F11" s="355">
        <f>Input!$X$8</f>
        <v>0</v>
      </c>
      <c r="G11" s="355">
        <f>Input!$Y$8</f>
        <v>12757514</v>
      </c>
      <c r="H11" s="355">
        <f>Input!$Z$8</f>
        <v>0</v>
      </c>
      <c r="I11" s="355">
        <f>Input!$AA$8</f>
        <v>0</v>
      </c>
      <c r="J11" s="355">
        <f>Input!$AB$8</f>
        <v>0</v>
      </c>
      <c r="K11" s="355">
        <f>Input!$AC$8</f>
        <v>0</v>
      </c>
      <c r="L11" s="355">
        <f>Input!$AD$8</f>
        <v>0</v>
      </c>
      <c r="M11" s="357">
        <f t="shared" si="0"/>
        <v>18810881</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Input!$AN$8</f>
        <v>0</v>
      </c>
      <c r="E13" s="355">
        <f>Input!$AO$8</f>
        <v>0</v>
      </c>
      <c r="F13" s="355">
        <f>Input!$AP$8</f>
        <v>0</v>
      </c>
      <c r="G13" s="355">
        <f>Input!$AQ$8</f>
        <v>0</v>
      </c>
      <c r="H13" s="355">
        <f>Input!$AR$8</f>
        <v>0</v>
      </c>
      <c r="I13" s="355">
        <f>Input!$AS$8</f>
        <v>0</v>
      </c>
      <c r="J13" s="355">
        <f>Input!$AT$8</f>
        <v>0</v>
      </c>
      <c r="K13" s="355">
        <f>Input!$AU$8</f>
        <v>0</v>
      </c>
      <c r="L13" s="355">
        <f>Input!$AV$8</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220491019</v>
      </c>
      <c r="E15" s="356">
        <f t="shared" ref="E15:L15" si="1">SUM(E10:E14)</f>
        <v>365243</v>
      </c>
      <c r="F15" s="356">
        <f t="shared" si="1"/>
        <v>0</v>
      </c>
      <c r="G15" s="356">
        <f t="shared" si="1"/>
        <v>12757514</v>
      </c>
      <c r="H15" s="356">
        <f t="shared" si="1"/>
        <v>0</v>
      </c>
      <c r="I15" s="356">
        <f t="shared" si="1"/>
        <v>0</v>
      </c>
      <c r="J15" s="356">
        <f t="shared" si="1"/>
        <v>0</v>
      </c>
      <c r="K15" s="356">
        <f t="shared" si="1"/>
        <v>0</v>
      </c>
      <c r="L15" s="356">
        <f t="shared" si="1"/>
        <v>0</v>
      </c>
      <c r="M15" s="356">
        <f t="shared" si="0"/>
        <v>233613776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31354291</v>
      </c>
      <c r="E18" s="356">
        <f t="shared" si="2"/>
        <v>22129378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53483669</v>
      </c>
      <c r="V18" s="342"/>
      <c r="X18" s="326"/>
    </row>
    <row r="19" spans="1:26" s="50" customFormat="1" ht="12.75" customHeight="1" thickTop="1" thickBot="1">
      <c r="A19" s="293"/>
      <c r="B19" s="51" t="s">
        <v>638</v>
      </c>
      <c r="C19" s="51"/>
      <c r="D19" s="355">
        <f>Input!$BF$8</f>
        <v>-7119849</v>
      </c>
      <c r="E19" s="355">
        <f>Input!$BG$8</f>
        <v>-62145</v>
      </c>
      <c r="F19" s="355">
        <f>Input!$BH$8</f>
        <v>0</v>
      </c>
      <c r="G19" s="355">
        <f>Input!$BI$8</f>
        <v>0</v>
      </c>
      <c r="H19" s="355">
        <f>Input!$BJ$8</f>
        <v>0</v>
      </c>
      <c r="I19" s="355">
        <f>Input!BK6</f>
        <v>0</v>
      </c>
      <c r="J19" s="355">
        <f>Input!$BL$8</f>
        <v>0</v>
      </c>
      <c r="K19" s="355">
        <f>Input!BM6</f>
        <v>0</v>
      </c>
      <c r="L19" s="355">
        <f>Input!BN6</f>
        <v>0</v>
      </c>
      <c r="M19" s="357">
        <f t="shared" si="3"/>
        <v>-7181994</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Input!$BO$8</f>
        <v>0</v>
      </c>
      <c r="E20" s="355">
        <f>Input!$BP$8</f>
        <v>0</v>
      </c>
      <c r="F20" s="355">
        <f>Input!$BQ$8</f>
        <v>0</v>
      </c>
      <c r="G20" s="355">
        <f>Input!$BR$8</f>
        <v>0</v>
      </c>
      <c r="H20" s="355">
        <f>Input!$BS$8</f>
        <v>0</v>
      </c>
      <c r="I20" s="355">
        <f>Input!$BT$8</f>
        <v>0</v>
      </c>
      <c r="J20" s="355">
        <f>Input!BU6</f>
        <v>0</v>
      </c>
      <c r="K20" s="355">
        <f>Input!BV6</f>
        <v>0</v>
      </c>
      <c r="L20" s="355">
        <f>Input!$BW$8</f>
        <v>0</v>
      </c>
      <c r="M20" s="357">
        <f t="shared" si="3"/>
        <v>0</v>
      </c>
      <c r="O20" s="414" t="s">
        <v>215</v>
      </c>
      <c r="P20" s="415"/>
      <c r="Q20" s="416"/>
      <c r="R20" s="416"/>
      <c r="S20" s="537"/>
      <c r="U20" s="538" t="s">
        <v>997</v>
      </c>
      <c r="V20" s="296"/>
      <c r="W20" s="296"/>
      <c r="Y20" s="420"/>
    </row>
    <row r="21" spans="1:26" s="50" customFormat="1">
      <c r="A21" s="293"/>
      <c r="B21" s="51" t="s">
        <v>640</v>
      </c>
      <c r="C21" s="51"/>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430"/>
      <c r="R21" s="347"/>
      <c r="S21" s="539"/>
      <c r="U21" s="621" t="s">
        <v>998</v>
      </c>
      <c r="V21" s="296"/>
      <c r="W21" s="296"/>
      <c r="X21" s="622">
        <f>M44</f>
        <v>56636942</v>
      </c>
      <c r="Y21" s="420"/>
      <c r="Z21" s="326"/>
    </row>
    <row r="22" spans="1:26" s="50" customFormat="1">
      <c r="A22" s="293"/>
      <c r="B22" s="51" t="s">
        <v>641</v>
      </c>
      <c r="C22" s="51"/>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99"/>
      <c r="O22" s="430" t="s">
        <v>999</v>
      </c>
      <c r="P22" s="305"/>
      <c r="Q22" s="419">
        <f>M23</f>
        <v>46301675</v>
      </c>
      <c r="S22" s="540"/>
      <c r="U22" s="621" t="s">
        <v>1000</v>
      </c>
      <c r="V22" s="296"/>
      <c r="W22" s="296"/>
      <c r="X22" s="623">
        <f>R30*-1</f>
        <v>1459460</v>
      </c>
      <c r="Y22" s="420"/>
    </row>
    <row r="23" spans="1:26" s="50" customFormat="1" ht="12.75" customHeight="1">
      <c r="A23" s="293"/>
      <c r="B23" s="536" t="s">
        <v>642</v>
      </c>
      <c r="C23" s="179"/>
      <c r="D23" s="541">
        <f>Input!$CP$8</f>
        <v>24234442</v>
      </c>
      <c r="E23" s="541">
        <f>Input!$CQ$8</f>
        <v>22067233</v>
      </c>
      <c r="F23" s="541">
        <f>Input!$CR$8</f>
        <v>0</v>
      </c>
      <c r="G23" s="541">
        <f>Input!$CS$8</f>
        <v>0</v>
      </c>
      <c r="H23" s="541">
        <f>Input!$CT$8</f>
        <v>0</v>
      </c>
      <c r="I23" s="541">
        <f>Input!$CU$8</f>
        <v>0</v>
      </c>
      <c r="J23" s="541">
        <f>Input!$CV$8</f>
        <v>0</v>
      </c>
      <c r="K23" s="541">
        <f>Input!$CW$8</f>
        <v>0</v>
      </c>
      <c r="L23" s="541">
        <f>Input!$CX$8</f>
        <v>0</v>
      </c>
      <c r="M23" s="542">
        <f t="shared" si="3"/>
        <v>46301675</v>
      </c>
      <c r="O23" s="430"/>
      <c r="P23" s="305"/>
      <c r="Q23" s="419"/>
      <c r="S23" s="540"/>
      <c r="U23" s="538" t="s">
        <v>1185</v>
      </c>
      <c r="V23" s="296"/>
      <c r="W23" s="296"/>
      <c r="X23" s="305"/>
      <c r="Y23" s="420">
        <f>SUM(X21:X22)</f>
        <v>58096402</v>
      </c>
      <c r="Z23" s="326"/>
    </row>
    <row r="24" spans="1:26" s="50" customFormat="1" ht="12.75" customHeight="1">
      <c r="A24" s="293"/>
      <c r="B24" s="51" t="s">
        <v>643</v>
      </c>
      <c r="C24" s="180"/>
      <c r="D24" s="355">
        <f>Input!$CY$8</f>
        <v>0</v>
      </c>
      <c r="E24" s="355">
        <f>Input!$CZ$8</f>
        <v>0</v>
      </c>
      <c r="F24" s="355">
        <f>Input!$DA$8</f>
        <v>0</v>
      </c>
      <c r="G24" s="355">
        <f>Input!$DB$8</f>
        <v>0</v>
      </c>
      <c r="H24" s="355">
        <f>Input!$DC$8</f>
        <v>0</v>
      </c>
      <c r="I24" s="355">
        <f>Input!$DD$8</f>
        <v>0</v>
      </c>
      <c r="J24" s="355">
        <f>Input!$DE$8</f>
        <v>0</v>
      </c>
      <c r="K24" s="355">
        <f>Input!$DF$8</f>
        <v>0</v>
      </c>
      <c r="L24" s="355">
        <f>Input!$DG$8</f>
        <v>0</v>
      </c>
      <c r="M24" s="543">
        <f t="shared" si="3"/>
        <v>0</v>
      </c>
      <c r="O24" s="418" t="s">
        <v>1001</v>
      </c>
      <c r="P24" s="305"/>
      <c r="Q24" s="342"/>
      <c r="R24" s="342">
        <f>SUM(M24:M28)</f>
        <v>-1178467</v>
      </c>
      <c r="S24" s="540"/>
      <c r="U24" s="538"/>
      <c r="V24" s="296"/>
      <c r="W24" s="296"/>
      <c r="Y24" s="420"/>
      <c r="Z24" s="326"/>
    </row>
    <row r="25" spans="1:26" s="50" customFormat="1" ht="12.75" customHeight="1">
      <c r="A25" s="293"/>
      <c r="B25" s="51" t="s">
        <v>644</v>
      </c>
      <c r="C25" s="180"/>
      <c r="D25" s="355">
        <f>Input!$DH$8</f>
        <v>0</v>
      </c>
      <c r="E25" s="355">
        <f>Input!$DI$8</f>
        <v>0</v>
      </c>
      <c r="F25" s="355">
        <f>Input!$DJ$8</f>
        <v>0</v>
      </c>
      <c r="G25" s="355">
        <f>Input!$DK$8</f>
        <v>0</v>
      </c>
      <c r="H25" s="355">
        <f>Input!$DL$8</f>
        <v>0</v>
      </c>
      <c r="I25" s="355">
        <f>Input!$DM$8</f>
        <v>0</v>
      </c>
      <c r="J25" s="355">
        <f>Input!$DN$8</f>
        <v>0</v>
      </c>
      <c r="K25" s="355">
        <f>Input!$DO$8</f>
        <v>0</v>
      </c>
      <c r="L25" s="355">
        <f>Input!$DP$8</f>
        <v>0</v>
      </c>
      <c r="M25" s="543">
        <f t="shared" si="3"/>
        <v>0</v>
      </c>
      <c r="O25" s="430"/>
      <c r="P25" s="305"/>
      <c r="Q25" s="342"/>
      <c r="R25" s="342"/>
      <c r="S25" s="540"/>
      <c r="U25" s="544" t="s">
        <v>1045</v>
      </c>
      <c r="V25" s="545"/>
      <c r="W25" s="545"/>
      <c r="X25" s="624">
        <f>(M26+M39)*-1</f>
        <v>723980</v>
      </c>
      <c r="Y25" s="420"/>
      <c r="Z25" s="326"/>
    </row>
    <row r="26" spans="1:26" s="50" customFormat="1" ht="12.75" customHeight="1">
      <c r="A26" s="293"/>
      <c r="B26" s="51" t="s">
        <v>645</v>
      </c>
      <c r="C26" s="180"/>
      <c r="D26" s="355">
        <f>Input!$DQ$8</f>
        <v>-292964</v>
      </c>
      <c r="E26" s="355">
        <f>Input!$DR$8</f>
        <v>-200586</v>
      </c>
      <c r="F26" s="355">
        <f>Input!$DS$8</f>
        <v>0</v>
      </c>
      <c r="G26" s="355">
        <f>Input!$DT$8</f>
        <v>0</v>
      </c>
      <c r="H26" s="355">
        <f>Input!$DU$8</f>
        <v>0</v>
      </c>
      <c r="I26" s="355">
        <f>Input!$DV$8</f>
        <v>0</v>
      </c>
      <c r="J26" s="355">
        <f>Input!$DW$8</f>
        <v>0</v>
      </c>
      <c r="K26" s="355">
        <f>Input!$DX$8</f>
        <v>0</v>
      </c>
      <c r="L26" s="355">
        <f>Input!$DY$8</f>
        <v>0</v>
      </c>
      <c r="M26" s="543">
        <f t="shared" si="3"/>
        <v>-493550</v>
      </c>
      <c r="O26" s="430" t="s">
        <v>1002</v>
      </c>
      <c r="P26" s="305"/>
      <c r="Q26" s="422">
        <f>M36</f>
        <v>11794727</v>
      </c>
      <c r="R26" s="423"/>
      <c r="S26" s="546"/>
      <c r="U26" s="538" t="s">
        <v>1046</v>
      </c>
      <c r="V26" s="296"/>
      <c r="W26" s="296"/>
      <c r="X26" s="547">
        <f>(M21+M34)*-1</f>
        <v>0</v>
      </c>
      <c r="Y26" s="420"/>
      <c r="Z26" s="326"/>
    </row>
    <row r="27" spans="1:26" s="50" customFormat="1">
      <c r="A27" s="293"/>
      <c r="B27" s="51" t="s">
        <v>646</v>
      </c>
      <c r="C27" s="180"/>
      <c r="D27" s="355">
        <f>Input!$DZ$8</f>
        <v>0</v>
      </c>
      <c r="E27" s="355">
        <f>Input!$EA$8</f>
        <v>0</v>
      </c>
      <c r="F27" s="355">
        <f>Input!$EB$8</f>
        <v>0</v>
      </c>
      <c r="G27" s="355">
        <f>Input!$EC$8</f>
        <v>0</v>
      </c>
      <c r="H27" s="355">
        <f>Input!$ED$8</f>
        <v>0</v>
      </c>
      <c r="I27" s="355">
        <f>Input!$EE$8</f>
        <v>0</v>
      </c>
      <c r="J27" s="355">
        <f>Input!$EF$8</f>
        <v>0</v>
      </c>
      <c r="K27" s="355">
        <f>Input!$EG$8</f>
        <v>0</v>
      </c>
      <c r="L27" s="355">
        <f>Input!$EH$8</f>
        <v>0</v>
      </c>
      <c r="M27" s="543">
        <f t="shared" si="3"/>
        <v>0</v>
      </c>
      <c r="O27" s="430"/>
      <c r="P27" s="305"/>
      <c r="Q27" s="422"/>
      <c r="R27" s="423"/>
      <c r="S27" s="546"/>
      <c r="U27" s="621" t="s">
        <v>1047</v>
      </c>
      <c r="V27" s="221"/>
      <c r="W27" s="221"/>
      <c r="X27" s="625">
        <f>SUM(X25:X26)</f>
        <v>723980</v>
      </c>
      <c r="Y27" s="626"/>
    </row>
    <row r="28" spans="1:26" s="50" customFormat="1">
      <c r="A28" s="293"/>
      <c r="B28" s="51" t="s">
        <v>1361</v>
      </c>
      <c r="C28" s="180"/>
      <c r="D28" s="355">
        <f>Input!$EI$8</f>
        <v>-468323</v>
      </c>
      <c r="E28" s="355">
        <f>Input!$EJ$8</f>
        <v>-216594</v>
      </c>
      <c r="F28" s="355">
        <f>Input!$EK$8</f>
        <v>0</v>
      </c>
      <c r="G28" s="355">
        <f>Input!$EL$8</f>
        <v>0</v>
      </c>
      <c r="H28" s="355">
        <f>Input!$EM$8</f>
        <v>0</v>
      </c>
      <c r="I28" s="355">
        <f>Input!$EN$8</f>
        <v>0</v>
      </c>
      <c r="J28" s="355">
        <f>Input!$EO$8</f>
        <v>0</v>
      </c>
      <c r="K28" s="355">
        <f>Input!$EP$8</f>
        <v>0</v>
      </c>
      <c r="L28" s="355">
        <f>Input!$EQ$8</f>
        <v>0</v>
      </c>
      <c r="M28" s="543">
        <f t="shared" si="3"/>
        <v>-684917</v>
      </c>
      <c r="O28" s="418" t="s">
        <v>1003</v>
      </c>
      <c r="Q28" s="425"/>
      <c r="R28" s="342">
        <f>SUM(M37:M41)</f>
        <v>-280993</v>
      </c>
      <c r="S28" s="540"/>
      <c r="U28" s="538" t="s">
        <v>1048</v>
      </c>
      <c r="V28" s="296"/>
      <c r="W28" s="296"/>
      <c r="X28" s="420">
        <f>(M27+M40)*-1</f>
        <v>0</v>
      </c>
      <c r="Y28" s="626"/>
      <c r="Z28" s="326"/>
    </row>
    <row r="29" spans="1:26" s="50" customFormat="1" ht="12" customHeight="1">
      <c r="A29" s="293"/>
      <c r="B29" s="551" t="s">
        <v>37</v>
      </c>
      <c r="C29" s="179"/>
      <c r="D29" s="356">
        <f t="shared" ref="D29:L29" si="4">SUM(D23:D28)</f>
        <v>23473155</v>
      </c>
      <c r="E29" s="356">
        <f t="shared" si="4"/>
        <v>21650053</v>
      </c>
      <c r="F29" s="356">
        <f t="shared" si="4"/>
        <v>0</v>
      </c>
      <c r="G29" s="356">
        <f t="shared" si="4"/>
        <v>0</v>
      </c>
      <c r="H29" s="356">
        <f t="shared" si="4"/>
        <v>0</v>
      </c>
      <c r="I29" s="356">
        <f t="shared" si="4"/>
        <v>0</v>
      </c>
      <c r="J29" s="356">
        <f t="shared" si="4"/>
        <v>0</v>
      </c>
      <c r="K29" s="356">
        <f t="shared" si="4"/>
        <v>0</v>
      </c>
      <c r="L29" s="356">
        <f t="shared" si="4"/>
        <v>0</v>
      </c>
      <c r="M29" s="356">
        <f t="shared" si="3"/>
        <v>45123208</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58096402</v>
      </c>
      <c r="R30" s="429">
        <f>R28+R24</f>
        <v>-1459460</v>
      </c>
      <c r="S30" s="553"/>
      <c r="U30" s="621" t="s">
        <v>1050</v>
      </c>
      <c r="V30" s="221"/>
      <c r="W30" s="221"/>
      <c r="X30" s="625">
        <f>SUM(X28:X29)</f>
        <v>0</v>
      </c>
      <c r="Y30" s="626"/>
    </row>
    <row r="31" spans="1:26" s="50" customFormat="1" ht="12.75" customHeight="1">
      <c r="A31" s="293"/>
      <c r="B31" s="536" t="s">
        <v>1005</v>
      </c>
      <c r="C31" s="536"/>
      <c r="D31" s="356">
        <f t="shared" ref="D31:L31" si="5">D36-SUM(D32:D35)</f>
        <v>196506</v>
      </c>
      <c r="E31" s="356">
        <f t="shared" si="5"/>
        <v>9109184</v>
      </c>
      <c r="F31" s="356">
        <f t="shared" si="5"/>
        <v>2489037</v>
      </c>
      <c r="G31" s="356">
        <f t="shared" si="5"/>
        <v>0</v>
      </c>
      <c r="H31" s="356">
        <f t="shared" si="5"/>
        <v>0</v>
      </c>
      <c r="I31" s="356">
        <f t="shared" si="5"/>
        <v>0</v>
      </c>
      <c r="J31" s="356">
        <f t="shared" si="5"/>
        <v>0</v>
      </c>
      <c r="K31" s="356">
        <f t="shared" si="5"/>
        <v>0</v>
      </c>
      <c r="L31" s="356">
        <f t="shared" si="5"/>
        <v>0</v>
      </c>
      <c r="M31" s="356">
        <f t="shared" ref="M31:M42" si="6">D31+E31+F31+G31+H31+I31+J31+K31+L31</f>
        <v>11794727</v>
      </c>
      <c r="O31" s="430" t="s">
        <v>217</v>
      </c>
      <c r="P31" s="305"/>
      <c r="Q31" s="349"/>
      <c r="R31" s="305"/>
      <c r="S31" s="540"/>
      <c r="U31" s="548" t="s">
        <v>1051</v>
      </c>
      <c r="V31" s="549"/>
      <c r="W31" s="549"/>
      <c r="X31" s="550">
        <f>X27+X30</f>
        <v>723980</v>
      </c>
      <c r="Y31" s="420"/>
      <c r="Z31" s="326"/>
    </row>
    <row r="32" spans="1:26" s="50" customFormat="1" ht="12.75" customHeight="1">
      <c r="A32" s="293"/>
      <c r="B32" s="51" t="s">
        <v>638</v>
      </c>
      <c r="C32" s="51"/>
      <c r="D32" s="355">
        <f>Input!$ER$8</f>
        <v>0</v>
      </c>
      <c r="E32" s="355">
        <f>Input!$ES$8</f>
        <v>0</v>
      </c>
      <c r="F32" s="355">
        <f>Input!$ET$8</f>
        <v>0</v>
      </c>
      <c r="G32" s="355">
        <f>Input!$EU$8</f>
        <v>0</v>
      </c>
      <c r="H32" s="355">
        <f>Input!$EV$8</f>
        <v>0</v>
      </c>
      <c r="I32" s="355">
        <f>Input!$EW$8</f>
        <v>0</v>
      </c>
      <c r="J32" s="355">
        <f>Input!$EX$8</f>
        <v>0</v>
      </c>
      <c r="K32" s="355">
        <f>Input!$EY$8</f>
        <v>0</v>
      </c>
      <c r="L32" s="355">
        <f>Input!$EZ$8</f>
        <v>0</v>
      </c>
      <c r="M32" s="543">
        <f t="shared" si="6"/>
        <v>0</v>
      </c>
      <c r="O32" s="431" t="s">
        <v>1245</v>
      </c>
      <c r="P32" s="432"/>
      <c r="Q32" s="433">
        <f>Input!$TI$8</f>
        <v>58096402</v>
      </c>
      <c r="R32" s="432"/>
      <c r="S32" s="554"/>
      <c r="U32" s="538"/>
      <c r="V32" s="296"/>
      <c r="W32" s="296"/>
      <c r="Y32" s="420"/>
      <c r="Z32" s="326"/>
    </row>
    <row r="33" spans="1:28" s="50" customFormat="1">
      <c r="A33" s="293"/>
      <c r="B33" s="51" t="s">
        <v>639</v>
      </c>
      <c r="C33" s="51"/>
      <c r="D33" s="355">
        <f>Input!$FA$8</f>
        <v>0</v>
      </c>
      <c r="E33" s="355">
        <f>Input!$FB$8</f>
        <v>0</v>
      </c>
      <c r="F33" s="355">
        <f>Input!$FC$8</f>
        <v>0</v>
      </c>
      <c r="G33" s="355">
        <f>Input!$FD$8</f>
        <v>0</v>
      </c>
      <c r="H33" s="355">
        <f>Input!$FE$8</f>
        <v>0</v>
      </c>
      <c r="I33" s="355">
        <f>Input!$FF$8</f>
        <v>0</v>
      </c>
      <c r="J33" s="355">
        <f>Input!$FG$8</f>
        <v>0</v>
      </c>
      <c r="K33" s="355">
        <f>Input!$FH$8</f>
        <v>0</v>
      </c>
      <c r="L33" s="355">
        <f>Input!$FI$8</f>
        <v>0</v>
      </c>
      <c r="M33" s="543">
        <f t="shared" si="6"/>
        <v>0</v>
      </c>
      <c r="O33" s="431"/>
      <c r="P33" s="432"/>
      <c r="Q33" s="342"/>
      <c r="R33" s="432"/>
      <c r="S33" s="554"/>
      <c r="U33" s="538" t="s">
        <v>1004</v>
      </c>
      <c r="V33" s="296"/>
      <c r="W33" s="296"/>
      <c r="X33" s="347">
        <f>(M19+M32)*-1</f>
        <v>7181994</v>
      </c>
      <c r="Y33" s="420"/>
    </row>
    <row r="34" spans="1:28" s="50" customFormat="1">
      <c r="A34" s="293"/>
      <c r="B34" s="51" t="s">
        <v>640</v>
      </c>
      <c r="C34" s="51"/>
      <c r="D34" s="355">
        <f>Input!$FJ$8</f>
        <v>0</v>
      </c>
      <c r="E34" s="355">
        <f>Input!$FK$8</f>
        <v>0</v>
      </c>
      <c r="F34" s="355">
        <f>Input!$FL$8</f>
        <v>0</v>
      </c>
      <c r="G34" s="355">
        <f>Input!$FM$8</f>
        <v>0</v>
      </c>
      <c r="H34" s="355">
        <f>Input!$FN$8</f>
        <v>0</v>
      </c>
      <c r="I34" s="355">
        <f>Input!$FO$8</f>
        <v>0</v>
      </c>
      <c r="J34" s="355">
        <f>Input!$FP$8</f>
        <v>0</v>
      </c>
      <c r="K34" s="355">
        <f>Input!$FQ$8</f>
        <v>0</v>
      </c>
      <c r="L34" s="355">
        <f>Input!$FR$8</f>
        <v>0</v>
      </c>
      <c r="M34" s="543">
        <f t="shared" si="6"/>
        <v>0</v>
      </c>
      <c r="O34" s="434" t="s">
        <v>1246</v>
      </c>
      <c r="P34" s="435"/>
      <c r="Q34" s="50" t="s">
        <v>218</v>
      </c>
      <c r="R34" s="433">
        <f>Input!$TJ$8</f>
        <v>-1459460</v>
      </c>
      <c r="S34" s="555"/>
      <c r="U34" s="538" t="s">
        <v>1052</v>
      </c>
      <c r="V34" s="296"/>
      <c r="W34" s="296"/>
      <c r="X34" s="426">
        <f>(M24+M37)*-1</f>
        <v>0</v>
      </c>
      <c r="Y34" s="420"/>
    </row>
    <row r="35" spans="1:28" s="50" customFormat="1" ht="13.5" thickBot="1">
      <c r="A35" s="293"/>
      <c r="B35" s="51" t="s">
        <v>641</v>
      </c>
      <c r="C35" s="51"/>
      <c r="D35" s="355">
        <f>Input!$FS$8</f>
        <v>0</v>
      </c>
      <c r="E35" s="355">
        <f>Input!$FT$8</f>
        <v>0</v>
      </c>
      <c r="F35" s="355">
        <f>Input!$FU$8</f>
        <v>0</v>
      </c>
      <c r="G35" s="355">
        <f>Input!$FV$8</f>
        <v>0</v>
      </c>
      <c r="H35" s="355">
        <f>Input!$FW$8</f>
        <v>0</v>
      </c>
      <c r="I35" s="355">
        <f>Input!$FX$8</f>
        <v>0</v>
      </c>
      <c r="J35" s="355">
        <f>Input!$FY$8</f>
        <v>0</v>
      </c>
      <c r="K35" s="355">
        <f>Input!$FZ$8</f>
        <v>0</v>
      </c>
      <c r="L35" s="355">
        <f>Input!$GA$8</f>
        <v>0</v>
      </c>
      <c r="M35" s="543">
        <f t="shared" si="6"/>
        <v>0</v>
      </c>
      <c r="O35" s="436" t="s">
        <v>219</v>
      </c>
      <c r="P35" s="437"/>
      <c r="Q35" s="438">
        <f>Q30-Q32</f>
        <v>0</v>
      </c>
      <c r="R35" s="439">
        <f>R30-R34</f>
        <v>0</v>
      </c>
      <c r="S35" s="556"/>
      <c r="U35" s="621" t="s">
        <v>1053</v>
      </c>
      <c r="V35" s="221"/>
      <c r="W35" s="221"/>
      <c r="X35" s="627">
        <f>SUM(X33:X34)</f>
        <v>7181994</v>
      </c>
      <c r="Y35" s="626"/>
    </row>
    <row r="36" spans="1:28" s="50" customFormat="1" ht="13.5" thickTop="1">
      <c r="A36" s="293"/>
      <c r="B36" s="536" t="s">
        <v>648</v>
      </c>
      <c r="C36" s="179"/>
      <c r="D36" s="541">
        <f>Input!$GB$8</f>
        <v>196506</v>
      </c>
      <c r="E36" s="541">
        <f>Input!$GC$8</f>
        <v>9109184</v>
      </c>
      <c r="F36" s="541">
        <f>Input!$GD$8</f>
        <v>2489037</v>
      </c>
      <c r="G36" s="541">
        <f>Input!$GE$8</f>
        <v>0</v>
      </c>
      <c r="H36" s="541">
        <f>Input!$GF$8</f>
        <v>0</v>
      </c>
      <c r="I36" s="541">
        <f>Input!$GG$8</f>
        <v>0</v>
      </c>
      <c r="J36" s="541">
        <f>Input!$GH$8</f>
        <v>0</v>
      </c>
      <c r="K36" s="541">
        <f>Input!$GI$8</f>
        <v>0</v>
      </c>
      <c r="L36" s="541">
        <f>Input!$GJ$8</f>
        <v>0</v>
      </c>
      <c r="M36" s="542">
        <f t="shared" si="6"/>
        <v>11794727</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Input!$GK$8</f>
        <v>0</v>
      </c>
      <c r="E37" s="355">
        <f>Input!$GL$8</f>
        <v>0</v>
      </c>
      <c r="F37" s="355">
        <f>Input!$GM$8</f>
        <v>0</v>
      </c>
      <c r="G37" s="355">
        <f>Input!$GN$8</f>
        <v>0</v>
      </c>
      <c r="H37" s="355">
        <f>Input!$GO$8</f>
        <v>0</v>
      </c>
      <c r="I37" s="355">
        <f>Input!$GP$8</f>
        <v>0</v>
      </c>
      <c r="J37" s="355">
        <f>Input!$GQ$8</f>
        <v>0</v>
      </c>
      <c r="K37" s="355">
        <f>Input!$GR$8</f>
        <v>0</v>
      </c>
      <c r="L37" s="355">
        <f>Input!$GS$8</f>
        <v>0</v>
      </c>
      <c r="M37" s="543">
        <f t="shared" si="6"/>
        <v>0</v>
      </c>
      <c r="O37" s="51"/>
      <c r="U37" s="538" t="s">
        <v>1054</v>
      </c>
      <c r="V37" s="296"/>
      <c r="W37" s="296"/>
      <c r="X37" s="426">
        <f>(M25+M38)*-1</f>
        <v>0</v>
      </c>
      <c r="Y37" s="626"/>
    </row>
    <row r="38" spans="1:28" s="50" customFormat="1">
      <c r="A38" s="293"/>
      <c r="B38" s="51" t="s">
        <v>644</v>
      </c>
      <c r="C38" s="180"/>
      <c r="D38" s="355">
        <f>Input!$GT$8</f>
        <v>0</v>
      </c>
      <c r="E38" s="355">
        <f>Input!$GU$8</f>
        <v>0</v>
      </c>
      <c r="F38" s="355">
        <f>Input!$GV$8</f>
        <v>0</v>
      </c>
      <c r="G38" s="355">
        <f>Input!$GW$8</f>
        <v>0</v>
      </c>
      <c r="H38" s="355">
        <f>Input!$GX$8</f>
        <v>0</v>
      </c>
      <c r="I38" s="355">
        <f>Input!$GY$8</f>
        <v>0</v>
      </c>
      <c r="J38" s="355">
        <f>Input!$GZ$8</f>
        <v>0</v>
      </c>
      <c r="K38" s="355">
        <f>Input!$HA$8</f>
        <v>0</v>
      </c>
      <c r="L38" s="355">
        <f>Input!$HB$8</f>
        <v>0</v>
      </c>
      <c r="M38" s="543">
        <f t="shared" si="6"/>
        <v>0</v>
      </c>
      <c r="O38" s="51"/>
      <c r="U38" s="621" t="s">
        <v>1055</v>
      </c>
      <c r="V38" s="221"/>
      <c r="W38" s="221"/>
      <c r="X38" s="627">
        <f>SUM(X36:X37)</f>
        <v>0</v>
      </c>
      <c r="Y38" s="420"/>
    </row>
    <row r="39" spans="1:28" s="50" customFormat="1">
      <c r="A39" s="293"/>
      <c r="B39" s="51" t="s">
        <v>645</v>
      </c>
      <c r="C39" s="180"/>
      <c r="D39" s="355">
        <f>Input!$HC$8</f>
        <v>0</v>
      </c>
      <c r="E39" s="355">
        <f>Input!$HD$8</f>
        <v>-218502</v>
      </c>
      <c r="F39" s="355">
        <f>Input!$HE$8</f>
        <v>-11928</v>
      </c>
      <c r="G39" s="355">
        <f>Input!$HF$8</f>
        <v>0</v>
      </c>
      <c r="H39" s="355">
        <f>Input!$HG$8</f>
        <v>0</v>
      </c>
      <c r="I39" s="355">
        <f>Input!$HH$8</f>
        <v>0</v>
      </c>
      <c r="J39" s="355">
        <f>Input!$HI$8</f>
        <v>0</v>
      </c>
      <c r="K39" s="355">
        <f>Input!$HJ$8</f>
        <v>0</v>
      </c>
      <c r="L39" s="355">
        <f>Input!$HK$8</f>
        <v>0</v>
      </c>
      <c r="M39" s="543">
        <f t="shared" si="6"/>
        <v>-230430</v>
      </c>
      <c r="O39" s="51"/>
      <c r="U39" s="538" t="s">
        <v>1007</v>
      </c>
      <c r="V39" s="296"/>
      <c r="W39" s="296"/>
      <c r="X39" s="347"/>
      <c r="Y39" s="420">
        <f>X38+X35</f>
        <v>7181994</v>
      </c>
    </row>
    <row r="40" spans="1:28" s="50" customFormat="1">
      <c r="A40" s="293"/>
      <c r="B40" s="51" t="s">
        <v>646</v>
      </c>
      <c r="C40" s="180"/>
      <c r="D40" s="355">
        <f>Input!$HL$8</f>
        <v>0</v>
      </c>
      <c r="E40" s="355">
        <f>Input!$HM$8</f>
        <v>0</v>
      </c>
      <c r="F40" s="355">
        <f>Input!$HN$8</f>
        <v>0</v>
      </c>
      <c r="G40" s="355">
        <f>Input!$HO$8</f>
        <v>0</v>
      </c>
      <c r="H40" s="355">
        <f>Input!$HP$8</f>
        <v>0</v>
      </c>
      <c r="I40" s="355">
        <f>Input!$HQ$8</f>
        <v>0</v>
      </c>
      <c r="J40" s="355">
        <f>Input!$HR$8</f>
        <v>0</v>
      </c>
      <c r="K40" s="355">
        <f>Input!$HS$8</f>
        <v>0</v>
      </c>
      <c r="L40" s="355">
        <f>Input!$HT$8</f>
        <v>0</v>
      </c>
      <c r="M40" s="543">
        <f t="shared" si="6"/>
        <v>0</v>
      </c>
      <c r="O40" s="51"/>
      <c r="U40" s="538"/>
      <c r="V40" s="51"/>
      <c r="W40" s="51"/>
      <c r="X40" s="51"/>
      <c r="Y40" s="626"/>
    </row>
    <row r="41" spans="1:28" s="50" customFormat="1">
      <c r="A41" s="293"/>
      <c r="B41" s="51" t="s">
        <v>1361</v>
      </c>
      <c r="C41" s="180"/>
      <c r="D41" s="355">
        <f>Input!$HU$8</f>
        <v>0</v>
      </c>
      <c r="E41" s="355">
        <f>Input!$HV$8</f>
        <v>0</v>
      </c>
      <c r="F41" s="355">
        <f>Input!$HW$8</f>
        <v>-50563</v>
      </c>
      <c r="G41" s="355">
        <f>Input!$HX$8</f>
        <v>0</v>
      </c>
      <c r="H41" s="355">
        <f>Input!$HY$8</f>
        <v>0</v>
      </c>
      <c r="I41" s="355">
        <f>Input!$HZ$8</f>
        <v>0</v>
      </c>
      <c r="J41" s="355">
        <f>Input!$IA$8</f>
        <v>0</v>
      </c>
      <c r="K41" s="355">
        <f>Input!$IB$8</f>
        <v>0</v>
      </c>
      <c r="L41" s="355">
        <f>Input!$IC$8</f>
        <v>0</v>
      </c>
      <c r="M41" s="543">
        <f t="shared" si="6"/>
        <v>-50563</v>
      </c>
      <c r="O41"/>
      <c r="P41"/>
      <c r="Q41"/>
      <c r="R41"/>
      <c r="S41"/>
      <c r="U41" s="538" t="s">
        <v>1046</v>
      </c>
      <c r="V41" s="296"/>
      <c r="W41" s="296"/>
      <c r="X41" s="326">
        <f>(M21+M34)*-1</f>
        <v>0</v>
      </c>
      <c r="Y41" s="420"/>
    </row>
    <row r="42" spans="1:28" s="50" customFormat="1">
      <c r="A42" s="293"/>
      <c r="B42" s="551" t="s">
        <v>38</v>
      </c>
      <c r="C42" s="179"/>
      <c r="D42" s="356">
        <f t="shared" ref="D42:L42" si="7">SUM(D36:D41)</f>
        <v>196506</v>
      </c>
      <c r="E42" s="356">
        <f t="shared" si="7"/>
        <v>8890682</v>
      </c>
      <c r="F42" s="356">
        <f t="shared" si="7"/>
        <v>2426546</v>
      </c>
      <c r="G42" s="356">
        <f t="shared" si="7"/>
        <v>0</v>
      </c>
      <c r="H42" s="356">
        <f t="shared" si="7"/>
        <v>0</v>
      </c>
      <c r="I42" s="356">
        <f t="shared" si="7"/>
        <v>0</v>
      </c>
      <c r="J42" s="356">
        <f t="shared" si="7"/>
        <v>0</v>
      </c>
      <c r="K42" s="356">
        <f t="shared" si="7"/>
        <v>0</v>
      </c>
      <c r="L42" s="356">
        <f t="shared" si="7"/>
        <v>0</v>
      </c>
      <c r="M42" s="356">
        <f t="shared" si="6"/>
        <v>11513734</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23669661</v>
      </c>
      <c r="E44" s="356">
        <f t="shared" si="8"/>
        <v>30540735</v>
      </c>
      <c r="F44" s="356">
        <f t="shared" si="8"/>
        <v>2426546</v>
      </c>
      <c r="G44" s="356">
        <f t="shared" si="8"/>
        <v>0</v>
      </c>
      <c r="H44" s="356">
        <f t="shared" si="8"/>
        <v>0</v>
      </c>
      <c r="I44" s="356">
        <f t="shared" si="8"/>
        <v>0</v>
      </c>
      <c r="J44" s="356">
        <f t="shared" si="8"/>
        <v>0</v>
      </c>
      <c r="K44" s="356">
        <f t="shared" si="8"/>
        <v>0</v>
      </c>
      <c r="L44" s="356">
        <f t="shared" si="8"/>
        <v>0</v>
      </c>
      <c r="M44" s="356">
        <f>D44+E44+F44+G44+H44+I44+J44+K44+L44</f>
        <v>56636942</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Input!$ID$8</f>
        <v>0</v>
      </c>
      <c r="E47" s="358">
        <f>Input!$IE$8</f>
        <v>37643860</v>
      </c>
      <c r="F47" s="358">
        <f>Input!$IF$8</f>
        <v>0</v>
      </c>
      <c r="G47" s="358">
        <f>Input!$IG$8</f>
        <v>118728483</v>
      </c>
      <c r="H47" s="358">
        <f>Input!$IH$8</f>
        <v>0</v>
      </c>
      <c r="I47" s="358">
        <f>Input!$II$8</f>
        <v>0</v>
      </c>
      <c r="J47" s="358">
        <f>Input!$IJ$8</f>
        <v>0</v>
      </c>
      <c r="K47" s="358">
        <f>Input!$IK$8</f>
        <v>0</v>
      </c>
      <c r="L47" s="358">
        <f>Input!$IL$8</f>
        <v>0</v>
      </c>
      <c r="M47" s="356">
        <f>D47+E47+F47+G47+H47+I47+J47+K47+L47</f>
        <v>156372343</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65278396</v>
      </c>
      <c r="Z49" s="50"/>
      <c r="AA49" s="50"/>
      <c r="AB49" s="50"/>
    </row>
    <row r="50" spans="1:28" s="149" customFormat="1">
      <c r="A50" s="147">
        <v>33</v>
      </c>
      <c r="B50" s="158" t="s">
        <v>56</v>
      </c>
      <c r="C50" s="158"/>
      <c r="D50" s="358">
        <f>Input!$IM$8</f>
        <v>0</v>
      </c>
      <c r="E50" s="358">
        <f>Input!$IN$8</f>
        <v>368873422</v>
      </c>
      <c r="F50" s="358">
        <f>Input!$IO$8</f>
        <v>0</v>
      </c>
      <c r="G50" s="358">
        <f>Input!$IP$8</f>
        <v>0</v>
      </c>
      <c r="H50" s="358">
        <f>Input!$IQ$8</f>
        <v>0</v>
      </c>
      <c r="I50" s="358">
        <f>Input!$IR$8</f>
        <v>0</v>
      </c>
      <c r="J50" s="358">
        <f>Input!$IS$8</f>
        <v>0</v>
      </c>
      <c r="K50" s="358">
        <f>Input!$IT$8</f>
        <v>0</v>
      </c>
      <c r="L50" s="358">
        <f>Input!$IU$8</f>
        <v>0</v>
      </c>
      <c r="M50" s="356">
        <f>D50+E50+F50+G50+H50+I50+J50+K50+L50</f>
        <v>368873422</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Input!$IV$8</f>
        <v>46845317</v>
      </c>
      <c r="E53" s="358">
        <f>Input!$IW$8</f>
        <v>25140503</v>
      </c>
      <c r="F53" s="358">
        <f>Input!$IX$8</f>
        <v>0</v>
      </c>
      <c r="G53" s="358">
        <f>Input!$IY$8</f>
        <v>0</v>
      </c>
      <c r="H53" s="358">
        <f>Input!$IZ$8</f>
        <v>0</v>
      </c>
      <c r="I53" s="358">
        <f>Input!$JA$8</f>
        <v>0</v>
      </c>
      <c r="J53" s="358">
        <f>Input!$JB$8</f>
        <v>0</v>
      </c>
      <c r="K53" s="358">
        <f>Input!$JC$8</f>
        <v>0</v>
      </c>
      <c r="L53" s="358">
        <f>Input!$JD$8</f>
        <v>0</v>
      </c>
      <c r="M53" s="356">
        <f>D53+E53+F53+G53+H53+I53+J53+K53+L53</f>
        <v>71985820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Input!$JE$8</f>
        <v>3098516</v>
      </c>
      <c r="E56" s="355">
        <f>Input!$JF$8</f>
        <v>30367423</v>
      </c>
      <c r="F56" s="355">
        <f>Input!$JG$8</f>
        <v>875859</v>
      </c>
      <c r="G56" s="355">
        <f>Input!$JH$8</f>
        <v>20632408</v>
      </c>
      <c r="H56" s="355">
        <f>Input!$JI$8</f>
        <v>157130</v>
      </c>
      <c r="I56" s="355">
        <f>Input!$JJ$8</f>
        <v>1429472</v>
      </c>
      <c r="J56" s="355">
        <f>Input!$JK$8</f>
        <v>610648</v>
      </c>
      <c r="K56" s="355">
        <f>Input!$JL$8</f>
        <v>0</v>
      </c>
      <c r="L56" s="355">
        <f>Input!$JM$8</f>
        <v>0</v>
      </c>
      <c r="M56" s="357">
        <f t="shared" ref="M56:M62" si="9">D56+E56+F56+G56+H56+I56+J56+K56+L56</f>
        <v>57171456</v>
      </c>
      <c r="O56" s="51"/>
      <c r="P56" s="50"/>
      <c r="Q56" s="50"/>
      <c r="R56" s="50"/>
      <c r="S56" s="50"/>
      <c r="T56" s="50"/>
      <c r="U56" s="50"/>
      <c r="V56" s="50"/>
      <c r="W56" s="50"/>
      <c r="X56" s="306"/>
      <c r="Y56" s="50"/>
      <c r="Z56" s="50"/>
      <c r="AA56" s="50"/>
      <c r="AB56" s="50"/>
    </row>
    <row r="57" spans="1:28" s="149" customFormat="1">
      <c r="A57" s="147">
        <v>40</v>
      </c>
      <c r="B57" s="149" t="s">
        <v>9</v>
      </c>
      <c r="D57" s="355">
        <f>Input!$JN$8</f>
        <v>0</v>
      </c>
      <c r="E57" s="355">
        <f>Input!$JO$8</f>
        <v>418521842</v>
      </c>
      <c r="F57" s="355">
        <f>Input!$JP$8</f>
        <v>0</v>
      </c>
      <c r="G57" s="355">
        <f>Input!$JQ$8</f>
        <v>17857540</v>
      </c>
      <c r="H57" s="355">
        <f>Input!$JR$8</f>
        <v>0</v>
      </c>
      <c r="I57" s="355">
        <f>Input!$JS$8</f>
        <v>0</v>
      </c>
      <c r="J57" s="355">
        <f>Input!$JT$8</f>
        <v>0</v>
      </c>
      <c r="K57" s="355">
        <f>Input!$JU$8</f>
        <v>0</v>
      </c>
      <c r="L57" s="355">
        <f>Input!$JV$8</f>
        <v>0</v>
      </c>
      <c r="M57" s="357">
        <f t="shared" si="9"/>
        <v>436379382</v>
      </c>
      <c r="O57" s="50"/>
      <c r="P57" s="307"/>
      <c r="Q57" s="50"/>
      <c r="R57" s="50"/>
      <c r="S57" s="50"/>
      <c r="T57" s="50"/>
      <c r="U57" s="50"/>
      <c r="V57" s="50"/>
      <c r="W57" s="50"/>
      <c r="X57" s="50"/>
      <c r="Y57" s="50"/>
      <c r="Z57" s="50"/>
      <c r="AA57" s="50"/>
      <c r="AB57" s="50"/>
    </row>
    <row r="58" spans="1:28" s="149" customFormat="1">
      <c r="A58" s="147">
        <v>41</v>
      </c>
      <c r="B58" s="149" t="s">
        <v>10</v>
      </c>
      <c r="D58" s="355">
        <f>Input!$JW$8</f>
        <v>0</v>
      </c>
      <c r="E58" s="355">
        <f>Input!$JX$8</f>
        <v>69333407</v>
      </c>
      <c r="F58" s="355">
        <f>Input!$JY$8</f>
        <v>0</v>
      </c>
      <c r="G58" s="355">
        <f>Input!$JZ$8</f>
        <v>95048666</v>
      </c>
      <c r="H58" s="355">
        <f>Input!$KA$8</f>
        <v>0</v>
      </c>
      <c r="I58" s="355">
        <f>Input!$KB$8</f>
        <v>0</v>
      </c>
      <c r="J58" s="355">
        <f>Input!$KC$8</f>
        <v>15520</v>
      </c>
      <c r="K58" s="355">
        <f>Input!$KD$8</f>
        <v>0</v>
      </c>
      <c r="L58" s="355">
        <f>Input!$KE$8</f>
        <v>0</v>
      </c>
      <c r="M58" s="357">
        <f t="shared" si="9"/>
        <v>164397593</v>
      </c>
      <c r="O58" s="302"/>
      <c r="P58" s="50"/>
      <c r="Q58" s="50"/>
      <c r="R58" s="50"/>
      <c r="S58" s="50"/>
      <c r="T58" s="50"/>
      <c r="U58" s="50"/>
      <c r="V58" s="50"/>
      <c r="W58" s="50"/>
      <c r="X58" s="50"/>
      <c r="Y58" s="50"/>
      <c r="Z58" s="50"/>
      <c r="AA58" s="50"/>
      <c r="AB58" s="50"/>
    </row>
    <row r="59" spans="1:28" s="149" customFormat="1" ht="13.5" thickBot="1">
      <c r="A59" s="147">
        <v>42</v>
      </c>
      <c r="B59" s="149" t="s">
        <v>54</v>
      </c>
      <c r="D59" s="355">
        <f>Input!$KF$8</f>
        <v>7881561</v>
      </c>
      <c r="E59" s="355">
        <f>Input!$KG$8</f>
        <v>14703025</v>
      </c>
      <c r="F59" s="355">
        <f>Input!$KH$8</f>
        <v>0</v>
      </c>
      <c r="G59" s="355">
        <f>Input!$KI$8</f>
        <v>14995281</v>
      </c>
      <c r="H59" s="355">
        <f>Input!$KJ$8</f>
        <v>0</v>
      </c>
      <c r="I59" s="355">
        <f>Input!$KK$8</f>
        <v>0</v>
      </c>
      <c r="J59" s="355">
        <f>Input!$KL$8</f>
        <v>0</v>
      </c>
      <c r="K59" s="355">
        <f>Input!$KM$8</f>
        <v>0</v>
      </c>
      <c r="L59" s="355">
        <f>Input!$KN$8</f>
        <v>0</v>
      </c>
      <c r="M59" s="357">
        <f t="shared" si="9"/>
        <v>37579867</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Input!$KO$8</f>
        <v>0</v>
      </c>
      <c r="E60" s="355">
        <f>Input!$KP$8</f>
        <v>0</v>
      </c>
      <c r="F60" s="355">
        <f>Input!$KQ$8</f>
        <v>27162590</v>
      </c>
      <c r="G60" s="355">
        <f>Input!$KR$8</f>
        <v>0</v>
      </c>
      <c r="H60" s="355">
        <f>Input!$KS$8</f>
        <v>0</v>
      </c>
      <c r="I60" s="355">
        <f>Input!$KT$8</f>
        <v>0</v>
      </c>
      <c r="J60" s="355">
        <f>Input!$KU$8</f>
        <v>0</v>
      </c>
      <c r="K60" s="355">
        <f>Input!$KV$8</f>
        <v>0</v>
      </c>
      <c r="L60" s="355">
        <f>Input!$KW$8</f>
        <v>0</v>
      </c>
      <c r="M60" s="357">
        <f t="shared" si="9"/>
        <v>27162590</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Input!$KX$8</f>
        <v>765788</v>
      </c>
      <c r="E61" s="355">
        <f>Input!$KY$8</f>
        <v>74105723</v>
      </c>
      <c r="F61" s="355">
        <f>Input!$KZ$8</f>
        <v>0</v>
      </c>
      <c r="G61" s="355">
        <f>Input!$LA$8</f>
        <v>1260062</v>
      </c>
      <c r="H61" s="355">
        <f>Input!$LB$8</f>
        <v>265755</v>
      </c>
      <c r="I61" s="355">
        <f>Input!$LC$8</f>
        <v>0</v>
      </c>
      <c r="J61" s="355">
        <f>Input!$LD$8</f>
        <v>0</v>
      </c>
      <c r="K61" s="355">
        <f>Input!$LE$8</f>
        <v>0</v>
      </c>
      <c r="L61" s="355">
        <f>Input!$LF$8</f>
        <v>-427889</v>
      </c>
      <c r="M61" s="357">
        <f t="shared" si="9"/>
        <v>75969439</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11745865</v>
      </c>
      <c r="E62" s="356">
        <f t="shared" si="10"/>
        <v>607031420</v>
      </c>
      <c r="F62" s="356">
        <f t="shared" si="10"/>
        <v>28038449</v>
      </c>
      <c r="G62" s="356">
        <f t="shared" si="10"/>
        <v>149793957</v>
      </c>
      <c r="H62" s="356">
        <f t="shared" si="10"/>
        <v>422885</v>
      </c>
      <c r="I62" s="356">
        <f t="shared" si="10"/>
        <v>1429472</v>
      </c>
      <c r="J62" s="356">
        <f t="shared" si="10"/>
        <v>626168</v>
      </c>
      <c r="K62" s="356">
        <f t="shared" si="10"/>
        <v>0</v>
      </c>
      <c r="L62" s="356">
        <f t="shared" si="10"/>
        <v>-427889</v>
      </c>
      <c r="M62" s="356">
        <f t="shared" si="9"/>
        <v>798660327</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302751862</v>
      </c>
      <c r="E63" s="356">
        <f t="shared" ref="E63:M63" si="11">E15+E44+E47+E50+E53+E62</f>
        <v>1069595183</v>
      </c>
      <c r="F63" s="356">
        <f t="shared" si="11"/>
        <v>30464995</v>
      </c>
      <c r="G63" s="356">
        <f t="shared" si="11"/>
        <v>281279954</v>
      </c>
      <c r="H63" s="356">
        <f t="shared" si="11"/>
        <v>422885</v>
      </c>
      <c r="I63" s="356">
        <f t="shared" si="11"/>
        <v>1429472</v>
      </c>
      <c r="J63" s="356">
        <f t="shared" si="11"/>
        <v>626168</v>
      </c>
      <c r="K63" s="356">
        <f t="shared" si="11"/>
        <v>0</v>
      </c>
      <c r="L63" s="356">
        <f t="shared" si="11"/>
        <v>-427889</v>
      </c>
      <c r="M63" s="356">
        <f t="shared" si="11"/>
        <v>1686142630</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Input!$LG$8</f>
        <v>103649086</v>
      </c>
      <c r="E65" s="355">
        <f>Input!$LH$8</f>
        <v>603180949</v>
      </c>
      <c r="F65" s="355">
        <f>Input!$LI$8</f>
        <v>0</v>
      </c>
      <c r="G65" s="355">
        <f>Input!$LJ$8</f>
        <v>10254849</v>
      </c>
      <c r="H65" s="355">
        <f>Input!$LK$8</f>
        <v>0</v>
      </c>
      <c r="I65" s="355">
        <f>Input!$LL$8</f>
        <v>0</v>
      </c>
      <c r="J65" s="355">
        <f>Input!$LM$8</f>
        <v>0</v>
      </c>
      <c r="K65" s="355">
        <f>Input!$LN$8</f>
        <v>0</v>
      </c>
      <c r="L65" s="355">
        <f>Input!$LO$8</f>
        <v>0</v>
      </c>
      <c r="M65" s="357">
        <f t="shared" ref="M65:M77" si="12">D65+E65+F65+G65+H65+I65+J65+K65+L65</f>
        <v>717084884</v>
      </c>
      <c r="O65" s="310">
        <f>D65+E65+G65</f>
        <v>717084884</v>
      </c>
      <c r="P65" s="311">
        <f>Input!$TK$8</f>
        <v>957385</v>
      </c>
      <c r="Q65" s="311">
        <f>Input!$TU$8</f>
        <v>97261</v>
      </c>
      <c r="R65" s="311">
        <f>Input!$UD$8</f>
        <v>48159</v>
      </c>
      <c r="S65" s="312">
        <f>O65+P65-Q65-R65</f>
        <v>717896849</v>
      </c>
      <c r="T65" s="313"/>
      <c r="U65" s="494">
        <f>D65+E65+F65+G65+J65</f>
        <v>717084884</v>
      </c>
      <c r="V65" s="313"/>
      <c r="W65" s="314" t="s">
        <v>14</v>
      </c>
      <c r="X65" s="487">
        <f>Input!$UO$8</f>
        <v>717084884</v>
      </c>
      <c r="Y65" s="315">
        <f t="shared" ref="Y65:Y74" si="13">X65-M65</f>
        <v>0</v>
      </c>
      <c r="Z65" s="313"/>
      <c r="AA65" s="313"/>
      <c r="AB65" s="313"/>
    </row>
    <row r="66" spans="1:28" s="149" customFormat="1" ht="14.25" thickTop="1" thickBot="1">
      <c r="A66" s="147">
        <v>49</v>
      </c>
      <c r="B66" s="161" t="s">
        <v>15</v>
      </c>
      <c r="C66" s="161"/>
      <c r="D66" s="355">
        <f>Input!$LP$8</f>
        <v>22810709</v>
      </c>
      <c r="E66" s="355">
        <f>Input!$LQ$8</f>
        <v>22452844</v>
      </c>
      <c r="F66" s="355">
        <f>Input!$LR$8</f>
        <v>0</v>
      </c>
      <c r="G66" s="355">
        <f>Input!$LS$8</f>
        <v>153784999</v>
      </c>
      <c r="H66" s="355">
        <f>Input!$LT$8</f>
        <v>0</v>
      </c>
      <c r="I66" s="355">
        <f>Input!$LU$8</f>
        <v>0</v>
      </c>
      <c r="J66" s="355">
        <f>Input!$LV$8</f>
        <v>0</v>
      </c>
      <c r="K66" s="355">
        <f>Input!$LW$8</f>
        <v>0</v>
      </c>
      <c r="L66" s="355">
        <f>Input!$LX$8</f>
        <v>0</v>
      </c>
      <c r="M66" s="357">
        <f t="shared" si="12"/>
        <v>199048552</v>
      </c>
      <c r="O66" s="316">
        <f t="shared" ref="O66:O72" si="14">D66+E66+G66</f>
        <v>199048552</v>
      </c>
      <c r="P66" s="317">
        <f>Input!$TL$8</f>
        <v>2433761</v>
      </c>
      <c r="Q66" s="317">
        <f>Input!$TV$8</f>
        <v>3513572</v>
      </c>
      <c r="R66" s="317">
        <f>Input!$UE$8</f>
        <v>41997</v>
      </c>
      <c r="S66" s="318">
        <f>O66+P66-Q66-R66</f>
        <v>197926744</v>
      </c>
      <c r="T66" s="313"/>
      <c r="U66" s="495">
        <f t="shared" ref="U66:U76" si="15">D66+E66+F66+G66+J66</f>
        <v>199048552</v>
      </c>
      <c r="V66" s="313"/>
      <c r="W66" s="314" t="s">
        <v>15</v>
      </c>
      <c r="X66" s="363">
        <f>Input!$UP$8</f>
        <v>199048552</v>
      </c>
      <c r="Y66" s="319">
        <f t="shared" si="13"/>
        <v>0</v>
      </c>
      <c r="Z66" s="320"/>
      <c r="AA66" s="320"/>
      <c r="AB66" s="320"/>
    </row>
    <row r="67" spans="1:28" s="149" customFormat="1" ht="13.5" thickTop="1">
      <c r="A67" s="147">
        <v>50</v>
      </c>
      <c r="B67" s="161" t="s">
        <v>16</v>
      </c>
      <c r="C67" s="161"/>
      <c r="D67" s="355">
        <f>Input!$LY$8</f>
        <v>506845</v>
      </c>
      <c r="E67" s="355">
        <f>Input!$LZ$8</f>
        <v>3622981</v>
      </c>
      <c r="F67" s="355">
        <f>Input!$MA$8</f>
        <v>0</v>
      </c>
      <c r="G67" s="355">
        <f>Input!$MB$8</f>
        <v>27305733</v>
      </c>
      <c r="H67" s="355">
        <f>Input!$MC$8</f>
        <v>0</v>
      </c>
      <c r="I67" s="355">
        <f>Input!$MD$8</f>
        <v>0</v>
      </c>
      <c r="J67" s="355">
        <f>Input!$ME$8</f>
        <v>0</v>
      </c>
      <c r="K67" s="355">
        <f>Input!$MF$8</f>
        <v>0</v>
      </c>
      <c r="L67" s="355">
        <f>Input!$MG$8</f>
        <v>0</v>
      </c>
      <c r="M67" s="357">
        <f t="shared" si="12"/>
        <v>31435559</v>
      </c>
      <c r="O67" s="316">
        <f t="shared" si="14"/>
        <v>31435559</v>
      </c>
      <c r="P67" s="317">
        <f>Input!$TM$8</f>
        <v>553240</v>
      </c>
      <c r="Q67" s="317">
        <f>Input!$TW$8</f>
        <v>66214</v>
      </c>
      <c r="R67" s="317">
        <f>Input!$UF$8</f>
        <v>0</v>
      </c>
      <c r="S67" s="321">
        <f t="shared" ref="S67:S72" si="16">O67+P67-Q67-R67</f>
        <v>31922585</v>
      </c>
      <c r="T67" s="320"/>
      <c r="U67" s="495">
        <f t="shared" si="15"/>
        <v>31435559</v>
      </c>
      <c r="V67" s="320"/>
      <c r="W67" s="314" t="s">
        <v>16</v>
      </c>
      <c r="X67" s="363">
        <f>Input!$UQ$8</f>
        <v>31435559</v>
      </c>
      <c r="Y67" s="319">
        <f t="shared" si="13"/>
        <v>0</v>
      </c>
      <c r="Z67" s="320"/>
      <c r="AA67" s="320"/>
      <c r="AB67" s="320"/>
    </row>
    <row r="68" spans="1:28" s="149" customFormat="1">
      <c r="A68" s="147">
        <v>51</v>
      </c>
      <c r="B68" s="161" t="s">
        <v>55</v>
      </c>
      <c r="C68" s="161"/>
      <c r="D68" s="355">
        <f>Input!$MH$8</f>
        <v>56301982</v>
      </c>
      <c r="E68" s="355">
        <f>Input!$MI$8</f>
        <v>374263970</v>
      </c>
      <c r="F68" s="355">
        <f>Input!$MJ$8</f>
        <v>0</v>
      </c>
      <c r="G68" s="355">
        <f>Input!$MK$8</f>
        <v>72450</v>
      </c>
      <c r="H68" s="355">
        <f>Input!$ML$8</f>
        <v>0</v>
      </c>
      <c r="I68" s="355">
        <f>Input!$MM$8</f>
        <v>0</v>
      </c>
      <c r="J68" s="355">
        <f>Input!$MN$8</f>
        <v>0</v>
      </c>
      <c r="K68" s="355">
        <f>Input!$MO$8</f>
        <v>0</v>
      </c>
      <c r="L68" s="355">
        <f>Input!$MP$8</f>
        <v>0</v>
      </c>
      <c r="M68" s="357">
        <f t="shared" si="12"/>
        <v>430638402</v>
      </c>
      <c r="O68" s="316">
        <f t="shared" si="14"/>
        <v>430638402</v>
      </c>
      <c r="P68" s="317">
        <f>Input!$TN$8</f>
        <v>5004879</v>
      </c>
      <c r="Q68" s="317">
        <f>Input!$TX$8</f>
        <v>0</v>
      </c>
      <c r="R68" s="317">
        <f>Input!$UG$8</f>
        <v>0</v>
      </c>
      <c r="S68" s="321">
        <f t="shared" si="16"/>
        <v>435643281</v>
      </c>
      <c r="T68" s="320"/>
      <c r="U68" s="495">
        <f t="shared" si="15"/>
        <v>430638402</v>
      </c>
      <c r="V68" s="320"/>
      <c r="W68" s="314" t="s">
        <v>55</v>
      </c>
      <c r="X68" s="363">
        <f>Input!$UR$8</f>
        <v>430638402</v>
      </c>
      <c r="Y68" s="319">
        <f t="shared" si="13"/>
        <v>0</v>
      </c>
      <c r="Z68" s="320"/>
      <c r="AA68" s="320"/>
      <c r="AB68" s="320"/>
    </row>
    <row r="69" spans="1:28" s="149" customFormat="1">
      <c r="A69" s="147">
        <v>52</v>
      </c>
      <c r="B69" s="161" t="s">
        <v>17</v>
      </c>
      <c r="C69" s="161"/>
      <c r="D69" s="355">
        <f>Input!$MQ$8</f>
        <v>27480374</v>
      </c>
      <c r="E69" s="355">
        <f>Input!$MR$8</f>
        <v>24986850</v>
      </c>
      <c r="F69" s="355">
        <f>Input!$MS$8</f>
        <v>0</v>
      </c>
      <c r="G69" s="355">
        <f>Input!$MT$8</f>
        <v>2873669</v>
      </c>
      <c r="H69" s="355">
        <f>Input!$MU$8</f>
        <v>0</v>
      </c>
      <c r="I69" s="355">
        <f>Input!$MV$8</f>
        <v>0</v>
      </c>
      <c r="J69" s="355">
        <f>Input!$MW$8</f>
        <v>0</v>
      </c>
      <c r="K69" s="355">
        <f>Input!$MX$8</f>
        <v>0</v>
      </c>
      <c r="L69" s="355">
        <f>Input!$MY$8</f>
        <v>0</v>
      </c>
      <c r="M69" s="357">
        <f t="shared" si="12"/>
        <v>55340893</v>
      </c>
      <c r="O69" s="316">
        <f t="shared" si="14"/>
        <v>55340893</v>
      </c>
      <c r="P69" s="317">
        <f>Input!$TO$8</f>
        <v>334193</v>
      </c>
      <c r="Q69" s="317">
        <f>Input!$TY$8</f>
        <v>0</v>
      </c>
      <c r="R69" s="317">
        <f>Input!$UH$8</f>
        <v>0</v>
      </c>
      <c r="S69" s="321">
        <f t="shared" si="16"/>
        <v>55675086</v>
      </c>
      <c r="T69" s="320"/>
      <c r="U69" s="495">
        <f t="shared" si="15"/>
        <v>55340893</v>
      </c>
      <c r="V69" s="320"/>
      <c r="W69" s="314" t="s">
        <v>17</v>
      </c>
      <c r="X69" s="363">
        <f>Input!$US$8</f>
        <v>55340893</v>
      </c>
      <c r="Y69" s="319">
        <f t="shared" si="13"/>
        <v>0</v>
      </c>
      <c r="Z69" s="320"/>
      <c r="AA69" s="320"/>
      <c r="AB69" s="320"/>
    </row>
    <row r="70" spans="1:28" s="149" customFormat="1">
      <c r="A70" s="147">
        <v>53</v>
      </c>
      <c r="B70" s="161" t="s">
        <v>18</v>
      </c>
      <c r="C70" s="161"/>
      <c r="D70" s="355">
        <f>Input!$MZ$8</f>
        <v>2378205</v>
      </c>
      <c r="E70" s="355">
        <f>Input!$NA$8</f>
        <v>5297903</v>
      </c>
      <c r="F70" s="355">
        <f>Input!$NB$8</f>
        <v>0</v>
      </c>
      <c r="G70" s="355">
        <f>Input!$NC$8</f>
        <v>1401737</v>
      </c>
      <c r="H70" s="355">
        <f>Input!$ND$8</f>
        <v>72465</v>
      </c>
      <c r="I70" s="355">
        <f>Input!$NE$8</f>
        <v>0</v>
      </c>
      <c r="J70" s="355">
        <f>Input!$NF$8</f>
        <v>0</v>
      </c>
      <c r="K70" s="355">
        <f>Input!$NG$8</f>
        <v>0</v>
      </c>
      <c r="L70" s="355">
        <f>Input!$NH$8</f>
        <v>0</v>
      </c>
      <c r="M70" s="357">
        <f t="shared" si="12"/>
        <v>9150310</v>
      </c>
      <c r="O70" s="316">
        <f t="shared" si="14"/>
        <v>9077845</v>
      </c>
      <c r="P70" s="317">
        <f>Input!$TP$8</f>
        <v>71568</v>
      </c>
      <c r="Q70" s="317">
        <f>Input!$TZ$8</f>
        <v>0</v>
      </c>
      <c r="R70" s="317">
        <f>Input!$UI$8</f>
        <v>0</v>
      </c>
      <c r="S70" s="321">
        <f t="shared" si="16"/>
        <v>9149413</v>
      </c>
      <c r="T70" s="320"/>
      <c r="U70" s="495">
        <f t="shared" si="15"/>
        <v>9077845</v>
      </c>
      <c r="V70" s="320"/>
      <c r="W70" s="314" t="s">
        <v>18</v>
      </c>
      <c r="X70" s="363">
        <f>Input!$UT$8</f>
        <v>9150310</v>
      </c>
      <c r="Y70" s="319">
        <f t="shared" si="13"/>
        <v>0</v>
      </c>
      <c r="Z70" s="320"/>
      <c r="AA70" s="320"/>
      <c r="AB70" s="320"/>
    </row>
    <row r="71" spans="1:28" s="149" customFormat="1">
      <c r="A71" s="147">
        <v>54</v>
      </c>
      <c r="B71" s="161" t="s">
        <v>19</v>
      </c>
      <c r="C71" s="161"/>
      <c r="D71" s="355">
        <f>Input!$NI$8</f>
        <v>33668897</v>
      </c>
      <c r="E71" s="355">
        <f>Input!$NJ$8</f>
        <v>41133787</v>
      </c>
      <c r="F71" s="355">
        <f>Input!$NK$8</f>
        <v>0</v>
      </c>
      <c r="G71" s="355">
        <f>Input!$NL$8</f>
        <v>2335162</v>
      </c>
      <c r="H71" s="355">
        <f>Input!$NM$8</f>
        <v>0</v>
      </c>
      <c r="I71" s="355">
        <f>Input!$NN$8</f>
        <v>0</v>
      </c>
      <c r="J71" s="355">
        <f>Input!$NO$8</f>
        <v>0</v>
      </c>
      <c r="K71" s="355">
        <f>Input!$NP$8</f>
        <v>0</v>
      </c>
      <c r="L71" s="355">
        <f>Input!$NQ$8</f>
        <v>0</v>
      </c>
      <c r="M71" s="357">
        <f t="shared" si="12"/>
        <v>77137846</v>
      </c>
      <c r="O71" s="316">
        <f t="shared" si="14"/>
        <v>77137846</v>
      </c>
      <c r="P71" s="317">
        <f>Input!$TQ$8</f>
        <v>4505910</v>
      </c>
      <c r="Q71" s="317">
        <f>Input!$UA$8</f>
        <v>0</v>
      </c>
      <c r="R71" s="317">
        <f>Input!$UJ$8</f>
        <v>0</v>
      </c>
      <c r="S71" s="321">
        <f t="shared" si="16"/>
        <v>81643756</v>
      </c>
      <c r="T71" s="320"/>
      <c r="U71" s="495">
        <f t="shared" si="15"/>
        <v>77137846</v>
      </c>
      <c r="V71" s="320"/>
      <c r="W71" s="314" t="s">
        <v>19</v>
      </c>
      <c r="X71" s="363">
        <f>Input!$UU$8</f>
        <v>77137846</v>
      </c>
      <c r="Y71" s="319">
        <f t="shared" si="13"/>
        <v>0</v>
      </c>
      <c r="Z71" s="320"/>
      <c r="AA71" s="320"/>
      <c r="AB71" s="320"/>
    </row>
    <row r="72" spans="1:28" s="149" customFormat="1">
      <c r="A72" s="147">
        <v>55</v>
      </c>
      <c r="B72" s="161" t="s">
        <v>20</v>
      </c>
      <c r="C72" s="161"/>
      <c r="D72" s="355">
        <f>Input!$NR$8</f>
        <v>20040303</v>
      </c>
      <c r="E72" s="355">
        <f>Input!$NS$8</f>
        <v>17178773</v>
      </c>
      <c r="F72" s="355">
        <f>Input!$NT$8</f>
        <v>0</v>
      </c>
      <c r="G72" s="355">
        <f>Input!$NU$8</f>
        <v>648</v>
      </c>
      <c r="H72" s="355">
        <f>Input!$NV$8</f>
        <v>0</v>
      </c>
      <c r="I72" s="355">
        <f>Input!$NW$8</f>
        <v>0</v>
      </c>
      <c r="J72" s="355">
        <f>Input!$NX$8</f>
        <v>6723070</v>
      </c>
      <c r="K72" s="355">
        <f>Input!$NY$8</f>
        <v>0</v>
      </c>
      <c r="L72" s="355">
        <f>Input!$NZ$8</f>
        <v>0</v>
      </c>
      <c r="M72" s="357">
        <f t="shared" si="12"/>
        <v>43942794</v>
      </c>
      <c r="O72" s="316">
        <f t="shared" si="14"/>
        <v>37219724</v>
      </c>
      <c r="P72" s="317">
        <f>Input!$TR$8</f>
        <v>121105</v>
      </c>
      <c r="Q72" s="317">
        <f>Input!$UB$8</f>
        <v>0</v>
      </c>
      <c r="R72" s="317">
        <f>Input!$UK$8</f>
        <v>0</v>
      </c>
      <c r="S72" s="321">
        <f t="shared" si="16"/>
        <v>37340829</v>
      </c>
      <c r="T72" s="320"/>
      <c r="U72" s="495">
        <f t="shared" si="15"/>
        <v>43942794</v>
      </c>
      <c r="V72" s="320"/>
      <c r="W72" s="314" t="s">
        <v>184</v>
      </c>
      <c r="X72" s="363">
        <f>Input!$UV$8</f>
        <v>43942794</v>
      </c>
      <c r="Y72" s="319">
        <f t="shared" si="13"/>
        <v>0</v>
      </c>
      <c r="Z72" s="320"/>
      <c r="AA72" s="320"/>
      <c r="AB72" s="320"/>
    </row>
    <row r="73" spans="1:28" s="149" customFormat="1" ht="13.5" thickBot="1">
      <c r="A73" s="147">
        <v>56</v>
      </c>
      <c r="B73" s="161" t="s">
        <v>21</v>
      </c>
      <c r="C73" s="161"/>
      <c r="D73" s="355">
        <f>Input!$OA$8</f>
        <v>107301</v>
      </c>
      <c r="E73" s="355">
        <f>Input!$OB$8</f>
        <v>3263592</v>
      </c>
      <c r="F73" s="355">
        <f>Input!$OC$8</f>
        <v>0</v>
      </c>
      <c r="G73" s="355">
        <f>Input!$OD$8</f>
        <v>6297119</v>
      </c>
      <c r="H73" s="355">
        <f>Input!$OE$8</f>
        <v>0</v>
      </c>
      <c r="I73" s="355">
        <f>Input!$OF$8</f>
        <v>0</v>
      </c>
      <c r="J73" s="355">
        <f>Input!$OG$8</f>
        <v>0</v>
      </c>
      <c r="K73" s="355">
        <f>Input!$OH$8</f>
        <v>0</v>
      </c>
      <c r="L73" s="355">
        <f>Input!$OI$8</f>
        <v>0</v>
      </c>
      <c r="M73" s="357">
        <f t="shared" si="12"/>
        <v>9668012</v>
      </c>
      <c r="O73" s="322">
        <f>D73+E73+G73</f>
        <v>9668012</v>
      </c>
      <c r="P73" s="317">
        <f>Input!$TS$8</f>
        <v>0</v>
      </c>
      <c r="Q73" s="323">
        <f>Input!$UC$8</f>
        <v>0</v>
      </c>
      <c r="R73" s="323">
        <f>Input!$UL$8</f>
        <v>0</v>
      </c>
      <c r="S73" s="324">
        <f>O73+P73-Q73-R73</f>
        <v>9668012</v>
      </c>
      <c r="T73" s="325"/>
      <c r="U73" s="495">
        <f t="shared" si="15"/>
        <v>9668012</v>
      </c>
      <c r="V73" s="325"/>
      <c r="W73" s="314" t="s">
        <v>21</v>
      </c>
      <c r="X73" s="363">
        <f>Input!$UW$8</f>
        <v>9668012</v>
      </c>
      <c r="Y73" s="319">
        <f t="shared" si="13"/>
        <v>0</v>
      </c>
      <c r="Z73" s="320"/>
      <c r="AA73" s="320"/>
      <c r="AB73" s="320"/>
    </row>
    <row r="74" spans="1:28" s="149" customFormat="1" ht="13.5" thickTop="1">
      <c r="A74" s="147">
        <v>57</v>
      </c>
      <c r="B74" s="161" t="s">
        <v>1363</v>
      </c>
      <c r="C74" s="161"/>
      <c r="D74" s="355">
        <f>Input!$OJ$8</f>
        <v>0</v>
      </c>
      <c r="E74" s="355">
        <f>Input!$OK$8</f>
        <v>0</v>
      </c>
      <c r="F74" s="355">
        <f>Input!$OL$8</f>
        <v>17062069</v>
      </c>
      <c r="G74" s="355">
        <f>Input!$OM$8</f>
        <v>0</v>
      </c>
      <c r="H74" s="355">
        <f>Input!$ON$8</f>
        <v>0</v>
      </c>
      <c r="I74" s="355">
        <f>Input!$OO$8</f>
        <v>0</v>
      </c>
      <c r="J74" s="355">
        <f>Input!$OP$8</f>
        <v>0</v>
      </c>
      <c r="K74" s="355">
        <f>Input!$OQ$8</f>
        <v>0</v>
      </c>
      <c r="L74" s="355">
        <f>Input!$OR$8</f>
        <v>0</v>
      </c>
      <c r="M74" s="357">
        <f t="shared" si="12"/>
        <v>17062069</v>
      </c>
      <c r="O74" s="326"/>
      <c r="P74" s="858">
        <f>Input!$TT$8</f>
        <v>82625</v>
      </c>
      <c r="Q74" s="327"/>
      <c r="R74" s="328"/>
      <c r="S74" s="329">
        <f>SUM(S65:S73)</f>
        <v>1576866555</v>
      </c>
      <c r="T74" s="328"/>
      <c r="U74" s="495">
        <f t="shared" si="15"/>
        <v>17062069</v>
      </c>
      <c r="V74" s="328"/>
      <c r="W74" s="314" t="s">
        <v>22</v>
      </c>
      <c r="X74" s="363">
        <f>Input!$UX$8</f>
        <v>17062069</v>
      </c>
      <c r="Y74" s="319">
        <f t="shared" si="13"/>
        <v>0</v>
      </c>
      <c r="Z74" s="320"/>
      <c r="AA74" s="320"/>
      <c r="AB74" s="320"/>
    </row>
    <row r="75" spans="1:28" s="149" customFormat="1">
      <c r="A75" s="147">
        <v>58</v>
      </c>
      <c r="B75" s="162" t="s">
        <v>62</v>
      </c>
      <c r="C75" s="162"/>
      <c r="D75" s="355">
        <f>Input!$OS$8</f>
        <v>118674</v>
      </c>
      <c r="E75" s="355">
        <f>Input!$OT$8</f>
        <v>11356789</v>
      </c>
      <c r="F75" s="355">
        <f>Input!$OU$8</f>
        <v>82625</v>
      </c>
      <c r="G75" s="355">
        <f>Input!$OV$8</f>
        <v>2506578</v>
      </c>
      <c r="H75" s="355">
        <f>Input!$OW$8</f>
        <v>0</v>
      </c>
      <c r="I75" s="355">
        <f>Input!$OX$8</f>
        <v>0</v>
      </c>
      <c r="J75" s="355">
        <f>Input!$OY$8</f>
        <v>0</v>
      </c>
      <c r="K75" s="355">
        <f>Input!$OZ$8</f>
        <v>0</v>
      </c>
      <c r="L75" s="355">
        <f>Input!$PA$8</f>
        <v>0</v>
      </c>
      <c r="M75" s="357">
        <f t="shared" si="12"/>
        <v>14064666</v>
      </c>
      <c r="O75" s="326"/>
      <c r="P75" s="326">
        <f>SUM(P65:P74)</f>
        <v>14064666</v>
      </c>
      <c r="Q75" s="327" t="s">
        <v>185</v>
      </c>
      <c r="R75" s="328"/>
      <c r="S75" s="330"/>
      <c r="T75" s="328"/>
      <c r="U75" s="495">
        <f t="shared" si="15"/>
        <v>14064666</v>
      </c>
      <c r="V75" s="328"/>
      <c r="W75" s="314" t="s">
        <v>186</v>
      </c>
      <c r="X75" s="331">
        <f>M93*-1</f>
        <v>64775812</v>
      </c>
      <c r="Y75" s="319">
        <f>X75+M93</f>
        <v>0</v>
      </c>
      <c r="Z75" s="332"/>
      <c r="AA75" s="332"/>
      <c r="AB75" s="332"/>
    </row>
    <row r="76" spans="1:28" s="149" customFormat="1" ht="13.5" thickBot="1">
      <c r="A76" s="147">
        <v>59</v>
      </c>
      <c r="B76" s="163" t="s">
        <v>42</v>
      </c>
      <c r="C76" s="163"/>
      <c r="D76" s="359">
        <f>Input!$PB$8</f>
        <v>0</v>
      </c>
      <c r="E76" s="359">
        <f>Input!$PC$8</f>
        <v>0</v>
      </c>
      <c r="F76" s="359">
        <f>Input!$PD$8</f>
        <v>0</v>
      </c>
      <c r="G76" s="359">
        <f>Input!$PE$8</f>
        <v>0</v>
      </c>
      <c r="H76" s="359">
        <f>Input!$PF$8</f>
        <v>2951837</v>
      </c>
      <c r="I76" s="359">
        <f>Input!$PG$8</f>
        <v>0</v>
      </c>
      <c r="J76" s="359">
        <f>Input!$PH$8</f>
        <v>0</v>
      </c>
      <c r="K76" s="359">
        <f>Input!$PI$8</f>
        <v>0</v>
      </c>
      <c r="L76" s="359">
        <f>Input!$PJ$8</f>
        <v>0</v>
      </c>
      <c r="M76" s="357">
        <f t="shared" si="12"/>
        <v>2951837</v>
      </c>
      <c r="O76" s="326"/>
      <c r="P76" s="484" t="str">
        <f>IF(P75&lt;&gt;M75,"Out of Balance","Balanced")</f>
        <v>Balanced</v>
      </c>
      <c r="Q76" s="1322" t="s">
        <v>187</v>
      </c>
      <c r="R76" s="1323"/>
      <c r="S76" s="412">
        <f>Input!$UM$8</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267062376</v>
      </c>
      <c r="E77" s="356">
        <f t="shared" si="17"/>
        <v>1106738438</v>
      </c>
      <c r="F77" s="356">
        <f t="shared" si="17"/>
        <v>17144694</v>
      </c>
      <c r="G77" s="356">
        <f t="shared" si="17"/>
        <v>206832944</v>
      </c>
      <c r="H77" s="356">
        <f t="shared" si="17"/>
        <v>3024302</v>
      </c>
      <c r="I77" s="356">
        <f t="shared" si="17"/>
        <v>0</v>
      </c>
      <c r="J77" s="356">
        <f t="shared" si="17"/>
        <v>6723070</v>
      </c>
      <c r="K77" s="356">
        <f t="shared" si="17"/>
        <v>0</v>
      </c>
      <c r="L77" s="356">
        <f t="shared" si="17"/>
        <v>0</v>
      </c>
      <c r="M77" s="356">
        <f t="shared" si="12"/>
        <v>1607525824</v>
      </c>
      <c r="O77" s="50"/>
      <c r="P77" s="326"/>
      <c r="Q77" s="334" t="s">
        <v>188</v>
      </c>
      <c r="R77" s="335"/>
      <c r="S77" s="413">
        <f>Input!$UN$8</f>
        <v>0</v>
      </c>
      <c r="T77" s="336"/>
      <c r="U77" s="497">
        <f>SUM(U65:U76)</f>
        <v>1604501522</v>
      </c>
      <c r="V77" s="336"/>
      <c r="W77" s="336"/>
      <c r="X77" s="337">
        <f>SUM(X65:X76)</f>
        <v>1655285133</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1576866555</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Input!$PK$8</f>
        <v>0</v>
      </c>
      <c r="E80" s="355">
        <f>Input!$PL$8</f>
        <v>0</v>
      </c>
      <c r="F80" s="355">
        <f>Input!$PM$8</f>
        <v>0</v>
      </c>
      <c r="G80" s="355">
        <f>Input!$PN$8</f>
        <v>0</v>
      </c>
      <c r="H80" s="355">
        <f>Input!$PO$8</f>
        <v>0</v>
      </c>
      <c r="I80" s="355">
        <f>Input!$PP$8</f>
        <v>0</v>
      </c>
      <c r="J80" s="355">
        <f>Input!$PQ$8</f>
        <v>-60822385</v>
      </c>
      <c r="K80" s="355">
        <f>Input!$PR$8</f>
        <v>0</v>
      </c>
      <c r="L80" s="355">
        <f>Input!$PS$8</f>
        <v>0</v>
      </c>
      <c r="M80" s="357">
        <f>D80+E80+F80+G80+H80+I80+J80+K80+L80</f>
        <v>-60822385</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Input!$PT$8</f>
        <v>-2198220</v>
      </c>
      <c r="E81" s="355">
        <f>Input!$PU$8</f>
        <v>-14387785</v>
      </c>
      <c r="F81" s="355">
        <f>Input!$PV$8</f>
        <v>-23596418</v>
      </c>
      <c r="G81" s="355">
        <f>Input!$PW$8</f>
        <v>-67946061</v>
      </c>
      <c r="H81" s="355">
        <f>Input!$PX$8</f>
        <v>-77005</v>
      </c>
      <c r="I81" s="355">
        <f>Input!$PY$8</f>
        <v>102316973</v>
      </c>
      <c r="J81" s="355">
        <f>Input!$PZ$8</f>
        <v>8209734</v>
      </c>
      <c r="K81" s="355">
        <f>Input!$QA$8</f>
        <v>0</v>
      </c>
      <c r="L81" s="355">
        <f>Input!$QB$8</f>
        <v>-117003</v>
      </c>
      <c r="M81" s="357">
        <f>D81+E81+F81+G81+H81+I81+J81+K81+L81</f>
        <v>2204215</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Input!$QC$8</f>
        <v>0</v>
      </c>
      <c r="E82" s="355">
        <f>Input!$QD$8</f>
        <v>0</v>
      </c>
      <c r="F82" s="355">
        <f>Input!$QE$8</f>
        <v>0</v>
      </c>
      <c r="G82" s="355">
        <f>Input!$QF$8</f>
        <v>0</v>
      </c>
      <c r="H82" s="355">
        <f>Input!$QG$8</f>
        <v>0</v>
      </c>
      <c r="I82" s="355">
        <f>Input!$QH$8</f>
        <v>0</v>
      </c>
      <c r="J82" s="355">
        <f>Input!$QI$8</f>
        <v>29186732</v>
      </c>
      <c r="K82" s="355">
        <f>Input!$QJ$8</f>
        <v>0</v>
      </c>
      <c r="L82" s="355">
        <f>Input!$QK$8</f>
        <v>0</v>
      </c>
      <c r="M82" s="357">
        <f>D82+E82+F82+G82+H82+I82+J82+K82+L82</f>
        <v>29186732</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Input!$QL$8</f>
        <v>-18748950</v>
      </c>
      <c r="E83" s="355">
        <f>Input!$QM$8</f>
        <v>-7798259</v>
      </c>
      <c r="F83" s="355">
        <f>Input!$QN$8</f>
        <v>-4900841</v>
      </c>
      <c r="G83" s="355">
        <f>Input!$QO$8</f>
        <v>0</v>
      </c>
      <c r="H83" s="355">
        <f>Input!$QP$8</f>
        <v>0</v>
      </c>
      <c r="I83" s="355">
        <f>Input!$QQ$8</f>
        <v>0</v>
      </c>
      <c r="J83" s="355">
        <f>Input!$QR$8</f>
        <v>0</v>
      </c>
      <c r="K83" s="355">
        <f>Input!$QS$8</f>
        <v>0</v>
      </c>
      <c r="L83" s="355">
        <f>Input!$QT$8</f>
        <v>0</v>
      </c>
      <c r="M83" s="357">
        <f>D83+E83+F83+G83+H83+I83+J83+K83+L83</f>
        <v>-31448050</v>
      </c>
      <c r="O83" s="346"/>
      <c r="P83" s="458" t="s">
        <v>596</v>
      </c>
      <c r="Q83" s="459"/>
      <c r="R83" s="460"/>
      <c r="S83" s="461">
        <f>IF(M91&lt;0,"N/A",M91)</f>
        <v>47761822</v>
      </c>
      <c r="T83" s="326"/>
      <c r="U83" s="343"/>
      <c r="V83" s="305"/>
      <c r="W83" s="305"/>
      <c r="X83" s="343"/>
      <c r="Y83" s="343"/>
      <c r="Z83" s="305"/>
      <c r="AA83" s="305"/>
      <c r="AB83" s="305"/>
    </row>
    <row r="84" spans="1:28" s="149" customFormat="1">
      <c r="A84" s="147">
        <v>67</v>
      </c>
      <c r="B84" s="164" t="s">
        <v>3</v>
      </c>
      <c r="C84" s="164"/>
      <c r="D84" s="356">
        <f t="shared" ref="D84:L84" si="18">SUM(D80:D83)</f>
        <v>-20947170</v>
      </c>
      <c r="E84" s="356">
        <f t="shared" si="18"/>
        <v>-22186044</v>
      </c>
      <c r="F84" s="356">
        <f t="shared" si="18"/>
        <v>-28497259</v>
      </c>
      <c r="G84" s="356">
        <f t="shared" si="18"/>
        <v>-67946061</v>
      </c>
      <c r="H84" s="356">
        <f t="shared" si="18"/>
        <v>-77005</v>
      </c>
      <c r="I84" s="356">
        <f t="shared" si="18"/>
        <v>102316973</v>
      </c>
      <c r="J84" s="356">
        <f t="shared" si="18"/>
        <v>-23425919</v>
      </c>
      <c r="K84" s="356">
        <f t="shared" si="18"/>
        <v>0</v>
      </c>
      <c r="L84" s="356">
        <f t="shared" si="18"/>
        <v>-117003</v>
      </c>
      <c r="M84" s="356">
        <f>D84+E84+F84+G84+H84+I84+J84+K84+L84</f>
        <v>-60879488</v>
      </c>
      <c r="O84" s="346"/>
      <c r="P84" s="462" t="s">
        <v>597</v>
      </c>
      <c r="Q84" s="347"/>
      <c r="R84" s="347"/>
      <c r="S84" s="492">
        <f>Input!$UY$8</f>
        <v>17737318</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30024504</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Input!$QU$8</f>
        <v>0</v>
      </c>
      <c r="E87" s="355">
        <f>Input!$QV$8</f>
        <v>-9190963</v>
      </c>
      <c r="F87" s="355">
        <f>Input!$QW$8</f>
        <v>0</v>
      </c>
      <c r="G87" s="355">
        <f>Input!$QX$8</f>
        <v>-20312</v>
      </c>
      <c r="H87" s="355">
        <f>Input!$QY$8</f>
        <v>0</v>
      </c>
      <c r="I87" s="355">
        <f>Input!$QZ$8</f>
        <v>19796706</v>
      </c>
      <c r="J87" s="355">
        <f>Input!$RA$8</f>
        <v>0</v>
      </c>
      <c r="K87" s="355">
        <f>Input!$RB$8</f>
        <v>0</v>
      </c>
      <c r="L87" s="355">
        <f>Input!$RC$8</f>
        <v>0</v>
      </c>
      <c r="M87" s="357">
        <f>D87+E87+F87+G87+H87+I87+J87+K87+L87</f>
        <v>10585431</v>
      </c>
      <c r="O87" s="51"/>
      <c r="P87" s="467" t="s">
        <v>599</v>
      </c>
      <c r="Q87" s="305"/>
      <c r="R87" s="347"/>
      <c r="S87" s="463">
        <f>Input!$UZ$8</f>
        <v>10585431</v>
      </c>
      <c r="T87" s="50"/>
      <c r="U87" s="50"/>
      <c r="V87" s="50"/>
      <c r="W87" s="305"/>
      <c r="X87" s="343"/>
      <c r="Y87" s="343"/>
      <c r="Z87" s="305"/>
      <c r="AA87" s="305"/>
      <c r="AB87" s="305"/>
    </row>
    <row r="88" spans="1:28" s="149" customFormat="1">
      <c r="A88" s="147">
        <v>71</v>
      </c>
      <c r="B88" s="149" t="s">
        <v>45</v>
      </c>
      <c r="D88" s="355">
        <f>Input!$RD$8</f>
        <v>0</v>
      </c>
      <c r="E88" s="355">
        <f>Input!$RE$8</f>
        <v>0</v>
      </c>
      <c r="F88" s="355">
        <f>Input!$RF$8</f>
        <v>0</v>
      </c>
      <c r="G88" s="355">
        <f>Input!$RG$8</f>
        <v>209630</v>
      </c>
      <c r="H88" s="355">
        <f>Input!$RH$8</f>
        <v>0</v>
      </c>
      <c r="I88" s="355">
        <f>Input!$RI$8</f>
        <v>19229443</v>
      </c>
      <c r="J88" s="355">
        <f>Input!$RJ$8</f>
        <v>0</v>
      </c>
      <c r="K88" s="355">
        <f>Input!$RK$8</f>
        <v>0</v>
      </c>
      <c r="L88" s="355">
        <f>Input!$RL$8</f>
        <v>0</v>
      </c>
      <c r="M88" s="357">
        <f>D88+E88+F88+G88+H88+I88+J88+K88+L88</f>
        <v>19439073</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-9190963</v>
      </c>
      <c r="F89" s="356">
        <f t="shared" si="19"/>
        <v>0</v>
      </c>
      <c r="G89" s="356">
        <f t="shared" si="19"/>
        <v>189318</v>
      </c>
      <c r="H89" s="356">
        <f t="shared" si="19"/>
        <v>0</v>
      </c>
      <c r="I89" s="356">
        <f t="shared" si="19"/>
        <v>39026149</v>
      </c>
      <c r="J89" s="356">
        <f t="shared" si="19"/>
        <v>0</v>
      </c>
      <c r="K89" s="356">
        <f t="shared" si="19"/>
        <v>0</v>
      </c>
      <c r="L89" s="356">
        <f t="shared" si="19"/>
        <v>0</v>
      </c>
      <c r="M89" s="356">
        <f>D89+E89+F89+G89+H89+I89+J89+K89+L89</f>
        <v>30024504</v>
      </c>
      <c r="O89" s="51"/>
      <c r="P89" s="470" t="s">
        <v>601</v>
      </c>
      <c r="Q89" s="305"/>
      <c r="R89" s="305"/>
      <c r="S89" s="464">
        <f>IFERROR(S85-S87,"")</f>
        <v>19439073</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14742316</v>
      </c>
      <c r="E91" s="356">
        <f t="shared" si="20"/>
        <v>-68520262</v>
      </c>
      <c r="F91" s="356">
        <f t="shared" si="20"/>
        <v>-15176958</v>
      </c>
      <c r="G91" s="356">
        <f t="shared" si="20"/>
        <v>6690267</v>
      </c>
      <c r="H91" s="356">
        <f t="shared" si="20"/>
        <v>-2678422</v>
      </c>
      <c r="I91" s="356">
        <f t="shared" si="20"/>
        <v>142772594</v>
      </c>
      <c r="J91" s="356">
        <f t="shared" si="20"/>
        <v>-29522821</v>
      </c>
      <c r="K91" s="356">
        <f t="shared" si="20"/>
        <v>0</v>
      </c>
      <c r="L91" s="356">
        <f>L63-L77+L84+L89</f>
        <v>-544892</v>
      </c>
      <c r="M91" s="356">
        <f>D91+E91+F91+G91+H91+I91+J91+K91+L91</f>
        <v>47761822</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Input!$RM$8</f>
        <v>0</v>
      </c>
      <c r="E93" s="355">
        <f>Input!$RN$8</f>
        <v>0</v>
      </c>
      <c r="F93" s="355">
        <f>Input!$RO$8</f>
        <v>0</v>
      </c>
      <c r="G93" s="355">
        <f>Input!$RP$8</f>
        <v>0</v>
      </c>
      <c r="H93" s="355">
        <f>Input!$RQ$8</f>
        <v>0</v>
      </c>
      <c r="I93" s="355">
        <f>Input!$RR$8</f>
        <v>0</v>
      </c>
      <c r="J93" s="355">
        <f>Input!$RS$8</f>
        <v>0</v>
      </c>
      <c r="K93" s="355">
        <f>Input!$RT$8</f>
        <v>0</v>
      </c>
      <c r="L93" s="355">
        <f>Input!$RU$8</f>
        <v>-64775812</v>
      </c>
      <c r="M93" s="357">
        <f>D93+E93+F93+G93+H93+I93+J93+K93+L93</f>
        <v>-64775812</v>
      </c>
      <c r="O93" s="299"/>
      <c r="P93" s="50"/>
      <c r="Q93" s="50"/>
      <c r="R93" s="50"/>
      <c r="S93" s="50"/>
      <c r="T93" s="50"/>
      <c r="U93" s="50"/>
      <c r="V93" s="50"/>
      <c r="W93" s="50"/>
      <c r="X93" s="50"/>
      <c r="Y93" s="50"/>
      <c r="Z93" s="50"/>
      <c r="AA93" s="50"/>
      <c r="AB93" s="50"/>
    </row>
    <row r="94" spans="1:28" s="149" customFormat="1">
      <c r="A94" s="147">
        <v>78</v>
      </c>
      <c r="B94" s="51" t="s">
        <v>94</v>
      </c>
      <c r="C94" s="51"/>
      <c r="D94" s="355">
        <f>Input!$RV$8</f>
        <v>0</v>
      </c>
      <c r="E94" s="355">
        <f>Input!$RW$8</f>
        <v>0</v>
      </c>
      <c r="F94" s="355">
        <f>Input!$RX$8</f>
        <v>0</v>
      </c>
      <c r="G94" s="355">
        <f>Input!$RY$8</f>
        <v>0</v>
      </c>
      <c r="H94" s="355">
        <f>Input!$RZ$8</f>
        <v>0</v>
      </c>
      <c r="I94" s="355">
        <f>Input!$SA$8</f>
        <v>0</v>
      </c>
      <c r="J94" s="355">
        <f>Input!$SB$8</f>
        <v>0</v>
      </c>
      <c r="K94" s="355">
        <f>Input!$SC$8</f>
        <v>0</v>
      </c>
      <c r="L94" s="355">
        <f>Input!$SD$8</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Input!$SE$8</f>
        <v>0</v>
      </c>
      <c r="E95" s="355">
        <f>Input!$SF$8</f>
        <v>0</v>
      </c>
      <c r="F95" s="355">
        <f>Input!$SG$8</f>
        <v>0</v>
      </c>
      <c r="G95" s="355">
        <f>Input!$SH$8</f>
        <v>0</v>
      </c>
      <c r="H95" s="355">
        <f>Input!$SI$8</f>
        <v>0</v>
      </c>
      <c r="I95" s="355">
        <f>Input!$SJ$8</f>
        <v>0</v>
      </c>
      <c r="J95" s="355">
        <f>Input!$SK$8</f>
        <v>0</v>
      </c>
      <c r="K95" s="355">
        <f>Input!$SL$8</f>
        <v>0</v>
      </c>
      <c r="L95" s="355">
        <f>Input!$SM$8</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Input!$SN$8</f>
        <v>0</v>
      </c>
      <c r="E96" s="355">
        <f>Input!$SO$8</f>
        <v>0</v>
      </c>
      <c r="F96" s="355">
        <f>Input!$SP$8</f>
        <v>0</v>
      </c>
      <c r="G96" s="355">
        <f>Input!$SQ$8</f>
        <v>0</v>
      </c>
      <c r="H96" s="355">
        <f>Input!$SR$8</f>
        <v>0</v>
      </c>
      <c r="I96" s="355">
        <f>Input!$SS$8</f>
        <v>0</v>
      </c>
      <c r="J96" s="355">
        <f>Input!$ST$8</f>
        <v>0</v>
      </c>
      <c r="K96" s="355">
        <f>Input!$SU$8</f>
        <v>0</v>
      </c>
      <c r="L96" s="355">
        <f>Input!$SV$8</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Input!$SW$8</f>
        <v>0</v>
      </c>
      <c r="E97" s="355">
        <f>Input!$SX$8</f>
        <v>0</v>
      </c>
      <c r="F97" s="355">
        <f>Input!$SY$8</f>
        <v>0</v>
      </c>
      <c r="G97" s="355">
        <f>Input!$SZ$8</f>
        <v>0</v>
      </c>
      <c r="H97" s="355">
        <f>Input!$TA$8</f>
        <v>0</v>
      </c>
      <c r="I97" s="355">
        <f>Input!$TB$8</f>
        <v>0</v>
      </c>
      <c r="J97" s="355">
        <f>Input!$TC$8</f>
        <v>0</v>
      </c>
      <c r="K97" s="355">
        <f>Input!$TD$8</f>
        <v>0</v>
      </c>
      <c r="L97" s="355">
        <f>Input!$TE$8</f>
        <v>74887051</v>
      </c>
      <c r="M97" s="357">
        <f>D97+E97+F97+G97+H97+I97+J97+K97+L97</f>
        <v>74887051</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14742316</v>
      </c>
      <c r="E98" s="360">
        <f t="shared" si="21"/>
        <v>-68520262</v>
      </c>
      <c r="F98" s="360">
        <f t="shared" si="21"/>
        <v>-15176958</v>
      </c>
      <c r="G98" s="360">
        <f t="shared" si="21"/>
        <v>6690267</v>
      </c>
      <c r="H98" s="360">
        <f t="shared" si="21"/>
        <v>-2678422</v>
      </c>
      <c r="I98" s="360">
        <f t="shared" si="21"/>
        <v>142772594</v>
      </c>
      <c r="J98" s="360">
        <f t="shared" si="21"/>
        <v>-29522821</v>
      </c>
      <c r="K98" s="360">
        <f t="shared" si="21"/>
        <v>0</v>
      </c>
      <c r="L98" s="360">
        <f t="shared" si="21"/>
        <v>9566347</v>
      </c>
      <c r="M98" s="360">
        <f>SUM(M91:M97)</f>
        <v>57873061</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Input!$VC$8</f>
        <v>Scott Barnett</v>
      </c>
      <c r="Q103" s="1334"/>
      <c r="R103" s="1333" t="str">
        <f>Input!$VD$8</f>
        <v>713/500-4915</v>
      </c>
      <c r="S103" s="1334"/>
      <c r="T103" s="305"/>
      <c r="U103" s="1335" t="str">
        <f>HYPERLINK("Mailto:"&amp;Input!$VE$8,Input!$VE$8)</f>
        <v>Scott.Barnett@uth.tmc.edu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Input!$TF$8</f>
        <v>57873061</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IF($L$123&lt;&gt;Input!$F$8,"Out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541747219</v>
      </c>
      <c r="E110" s="357">
        <f>SUM($E$10:$E$14)+SUM($E$19:$E$28)+SUM($E$50)+$E$53+SUM($E$56:$E$61)+SUM($E$65:$E$76)+SUM($E$80:$E$83)+SUM($E$87:$E$88)+SUM($E$93:$E$97)+SUM($E$32:$E$41)+$E$47</f>
        <v>2144894469</v>
      </c>
      <c r="F110" s="357">
        <f>SUM($F$10:$F$14)+SUM($F$19:$F$28)+SUM($F$50)+$F$53+SUM($F$56:$F$61)+SUM($F$65:$F$76)+SUM($F$80:$F$83)+SUM($F$87:$F$88)+SUM($F$93:$F$97)+SUM($F$32:$F$41)+$F$47</f>
        <v>19112430</v>
      </c>
      <c r="G110" s="357">
        <f>SUM($G$10:$G$14)+SUM($G$19:$G$28)+SUM($G$50)+$G$53+SUM($G$56:$G$61)+SUM($G$65:$G$76)+SUM($G$80:$G$83)+SUM($G$87:$G$88)+SUM($G$93:$G$97)+SUM($G$32:$G$41)+$G$47</f>
        <v>420356155</v>
      </c>
      <c r="H110" s="357">
        <f>SUM($H$10:$H$14)+SUM($H$19:$H$28)+SUM($H$50)+$H$53+SUM($H$56:$H$61)+SUM($H$65:$H$76)+SUM($H$80:$H$83)+SUM($H$87:$H$88)+SUM($H$93:$H$97)+SUM($H$32:$H$41)+$H$47</f>
        <v>3370182</v>
      </c>
      <c r="I110" s="357">
        <f>SUM($I$10:$I$14)+SUM($I$19:$I$28)+SUM($I$50)+$I$53+SUM($I$56:$I$61)+SUM($I$65:$I$76)+SUM($I$80:$I$83)+SUM($I$87:$I$88)+SUM($I$93:$I$97)+SUM($I$32:$I$41)+$I$47</f>
        <v>142772594</v>
      </c>
      <c r="J110" s="357">
        <f>SUM($J$10:$J$14)+SUM($J$19:$J$28)+SUM($J$50)+$J$53+SUM($J$56:$J$61)+SUM($J$65:$J$76)+SUM($J$80:$J$83)+SUM($J$87:$J$88)+SUM($J$93:$J$97)+SUM($J$32:$J$41)+$J$47</f>
        <v>-16076681</v>
      </c>
      <c r="K110" s="357">
        <f>SUM($K$10:$K$14)+SUM($K$19:$K$28)+SUM($K$50)+$K$53+SUM($K$56:$K$61)+SUM($K$65:$K$76)+SUM($K$80:$K$83)+SUM($K$87:$K$88)+SUM($K$93:$K$97)+SUM($K$32:$K$41)+$K$47</f>
        <v>0</v>
      </c>
      <c r="L110" s="357">
        <f>SUM($L$10:$L$14)+SUM($L$19:$L$28)+SUM($L$50)+$L$53+SUM($L$56:$L$61)+SUM($L$65:$L$76)+SUM($L$80:$L$83)+SUM($L$87:$L$88)+SUM($L$93:$L$97)+SUM($L$32:$L$41)+$L$47</f>
        <v>9566347</v>
      </c>
      <c r="M110" s="51"/>
      <c r="O110" s="51"/>
    </row>
    <row r="111" spans="1:28" s="50" customFormat="1">
      <c r="A111" s="293"/>
      <c r="B111" s="51"/>
      <c r="C111" s="51"/>
      <c r="D111" s="51"/>
      <c r="E111" s="51"/>
      <c r="F111" s="51"/>
      <c r="G111" s="51"/>
      <c r="H111" s="51"/>
      <c r="I111" s="51"/>
      <c r="J111" s="51"/>
      <c r="K111" s="51"/>
      <c r="L111" s="357">
        <f>SUM($D$110:$L$110)</f>
        <v>3265742715</v>
      </c>
      <c r="M111" s="51"/>
      <c r="O111" s="51"/>
    </row>
    <row r="112" spans="1:28" s="50" customFormat="1">
      <c r="A112" s="293"/>
      <c r="B112" s="51"/>
      <c r="C112" s="51"/>
      <c r="D112" s="51"/>
      <c r="E112" s="51"/>
      <c r="F112" s="51"/>
      <c r="G112" s="51"/>
      <c r="H112" s="51"/>
      <c r="I112" s="51"/>
      <c r="J112" s="51" t="s">
        <v>1249</v>
      </c>
      <c r="K112" s="51"/>
      <c r="L112" s="357">
        <f>$M$105</f>
        <v>57873061</v>
      </c>
      <c r="M112" s="51"/>
      <c r="O112" s="51"/>
    </row>
    <row r="113" spans="1:15" s="50" customFormat="1">
      <c r="A113" s="293"/>
      <c r="B113" s="51"/>
      <c r="C113" s="51"/>
      <c r="D113" s="51"/>
      <c r="E113" s="51"/>
      <c r="F113" s="51"/>
      <c r="G113" s="51"/>
      <c r="H113" s="51"/>
      <c r="I113" s="51"/>
      <c r="J113" s="51" t="s">
        <v>1250</v>
      </c>
      <c r="K113" s="51"/>
      <c r="L113" s="143">
        <f>$Q$32</f>
        <v>58096402</v>
      </c>
      <c r="M113" s="51"/>
      <c r="O113" s="51"/>
    </row>
    <row r="114" spans="1:15" s="50" customFormat="1">
      <c r="A114" s="293"/>
      <c r="B114" s="51"/>
      <c r="C114" s="51"/>
      <c r="D114" s="51"/>
      <c r="E114" s="51"/>
      <c r="F114" s="51"/>
      <c r="G114" s="51"/>
      <c r="H114" s="51"/>
      <c r="I114" s="51"/>
      <c r="J114" s="51" t="s">
        <v>1250</v>
      </c>
      <c r="K114" s="51"/>
      <c r="L114" s="143">
        <f>$R$34</f>
        <v>-1459460</v>
      </c>
      <c r="M114" s="51"/>
      <c r="O114" s="51"/>
    </row>
    <row r="115" spans="1:15" s="50" customFormat="1">
      <c r="A115" s="293"/>
      <c r="B115" s="51"/>
      <c r="C115" s="51"/>
      <c r="D115" s="51"/>
      <c r="E115" s="51"/>
      <c r="F115" s="51"/>
      <c r="G115" s="51"/>
      <c r="H115" s="51"/>
      <c r="I115" s="51"/>
      <c r="J115" s="51" t="s">
        <v>27</v>
      </c>
      <c r="K115" s="51"/>
      <c r="L115" s="143">
        <f>SUM($P$65:$P$74)</f>
        <v>14064666</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3677047</v>
      </c>
      <c r="M117" s="51"/>
      <c r="O117" s="51"/>
    </row>
    <row r="118" spans="1:15" s="50" customFormat="1">
      <c r="A118" s="293"/>
      <c r="B118" s="51"/>
      <c r="C118" s="51"/>
      <c r="D118" s="51"/>
      <c r="E118" s="51"/>
      <c r="F118" s="51"/>
      <c r="G118" s="51"/>
      <c r="H118" s="51"/>
      <c r="I118" s="51"/>
      <c r="J118" s="51" t="s">
        <v>608</v>
      </c>
      <c r="K118" s="51"/>
      <c r="L118" s="143">
        <f>SUM($R$65:$R$73)</f>
        <v>90156</v>
      </c>
      <c r="M118" s="51"/>
      <c r="O118" s="51"/>
    </row>
    <row r="119" spans="1:15" s="50" customFormat="1">
      <c r="A119" s="293"/>
      <c r="B119" s="51"/>
      <c r="C119" s="51"/>
      <c r="D119" s="51"/>
      <c r="E119" s="51"/>
      <c r="F119" s="51"/>
      <c r="G119" s="51"/>
      <c r="H119" s="51"/>
      <c r="I119" s="51"/>
      <c r="J119" s="51" t="s">
        <v>182</v>
      </c>
      <c r="K119" s="51"/>
      <c r="L119" s="143">
        <f>SUM($X$65:$X$74)</f>
        <v>1590509321</v>
      </c>
      <c r="M119" s="51"/>
      <c r="O119" s="51"/>
    </row>
    <row r="120" spans="1:15" s="50" customFormat="1">
      <c r="A120" s="293"/>
      <c r="B120" s="51"/>
      <c r="C120" s="51"/>
      <c r="D120" s="51"/>
      <c r="E120" s="51"/>
      <c r="F120" s="51"/>
      <c r="G120" s="51"/>
      <c r="H120" s="51"/>
      <c r="I120" s="51"/>
      <c r="J120" s="51" t="s">
        <v>609</v>
      </c>
      <c r="K120" s="51"/>
      <c r="L120" s="143">
        <f>$S$84</f>
        <v>17737318</v>
      </c>
      <c r="M120" s="51"/>
      <c r="O120" s="51"/>
    </row>
    <row r="121" spans="1:15" s="50" customFormat="1">
      <c r="A121" s="293"/>
      <c r="B121" s="51"/>
      <c r="C121" s="51"/>
      <c r="D121" s="51"/>
      <c r="E121" s="51"/>
      <c r="F121" s="51"/>
      <c r="G121" s="51"/>
      <c r="H121" s="51"/>
      <c r="I121" s="51"/>
      <c r="J121" s="51" t="s">
        <v>609</v>
      </c>
      <c r="K121" s="51"/>
      <c r="L121" s="143">
        <f>$S$87</f>
        <v>10585431</v>
      </c>
      <c r="M121" s="51"/>
      <c r="O121" s="51"/>
    </row>
    <row r="122" spans="1:15" s="50" customFormat="1">
      <c r="A122" s="293"/>
      <c r="B122" s="51"/>
      <c r="C122" s="51"/>
      <c r="D122" s="51"/>
      <c r="E122" s="51"/>
      <c r="F122" s="51"/>
      <c r="G122" s="51"/>
      <c r="H122" s="51"/>
      <c r="I122" s="51"/>
      <c r="J122" s="51" t="s">
        <v>1255</v>
      </c>
      <c r="K122" s="51"/>
      <c r="L122" s="935">
        <f>VLOOKUP(B2,Names!$B$10:$C$88,2,FALSE)</f>
        <v>11618</v>
      </c>
      <c r="M122" s="51"/>
      <c r="O122" s="51"/>
    </row>
    <row r="123" spans="1:15">
      <c r="L123" s="486">
        <f>SUM($L$111:$L$122)</f>
        <v>5016928275</v>
      </c>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477" priority="66" stopIfTrue="1" operator="notEqual">
      <formula>#REF!</formula>
    </cfRule>
  </conditionalFormatting>
  <conditionalFormatting sqref="M77">
    <cfRule type="cellIs" dxfId="476" priority="65" stopIfTrue="1" operator="notEqual">
      <formula>SUM($M$65:$M$76)</formula>
    </cfRule>
  </conditionalFormatting>
  <conditionalFormatting sqref="M89">
    <cfRule type="cellIs" dxfId="475" priority="64" stopIfTrue="1" operator="notEqual">
      <formula>SUM($M$87:$M$88)</formula>
    </cfRule>
  </conditionalFormatting>
  <conditionalFormatting sqref="M84">
    <cfRule type="cellIs" dxfId="474" priority="63" stopIfTrue="1" operator="notEqual">
      <formula>SUM($M$80:$M$83)</formula>
    </cfRule>
  </conditionalFormatting>
  <conditionalFormatting sqref="M62">
    <cfRule type="cellIs" dxfId="473" priority="59" stopIfTrue="1" operator="notEqual">
      <formula>SUM($M$56:$M$61)</formula>
    </cfRule>
  </conditionalFormatting>
  <conditionalFormatting sqref="M15">
    <cfRule type="cellIs" dxfId="472" priority="58" stopIfTrue="1" operator="notEqual">
      <formula>SUM($M$10:$M$14)</formula>
    </cfRule>
  </conditionalFormatting>
  <conditionalFormatting sqref="R99:S102 X95:AB102 U93:W100 T95:T102 O93:O100 P94:P101 Q93:Q100 S95:S98 R95:R97 D98:L98">
    <cfRule type="cellIs" dxfId="471" priority="57" stopIfTrue="1" operator="notEqual">
      <formula>#REF!</formula>
    </cfRule>
  </conditionalFormatting>
  <conditionalFormatting sqref="G64:K64">
    <cfRule type="expression" dxfId="470" priority="40">
      <formula>$R$98&lt;&gt;0</formula>
    </cfRule>
  </conditionalFormatting>
  <conditionalFormatting sqref="O11:P11">
    <cfRule type="expression" dxfId="469" priority="39">
      <formula>#REF!&lt;&gt;$N$11</formula>
    </cfRule>
  </conditionalFormatting>
  <conditionalFormatting sqref="O13">
    <cfRule type="expression" dxfId="468" priority="38">
      <formula>$Q$13&lt;&gt;$N$13</formula>
    </cfRule>
  </conditionalFormatting>
  <conditionalFormatting sqref="O12">
    <cfRule type="expression" dxfId="467" priority="37">
      <formula>$Q$12&lt;&gt;$N$12</formula>
    </cfRule>
  </conditionalFormatting>
  <conditionalFormatting sqref="S91">
    <cfRule type="expression" priority="35" stopIfTrue="1">
      <formula>$N$91&lt;0</formula>
    </cfRule>
    <cfRule type="expression" dxfId="466" priority="36">
      <formula>$T$91&lt;&gt;0</formula>
    </cfRule>
  </conditionalFormatting>
  <conditionalFormatting sqref="S84 S87">
    <cfRule type="expression" dxfId="465" priority="33" stopIfTrue="1">
      <formula>$M$91&gt;=0</formula>
    </cfRule>
    <cfRule type="expression" priority="34">
      <formula>$M$91&lt;0</formula>
    </cfRule>
  </conditionalFormatting>
  <conditionalFormatting sqref="U100:V100 R102 U101 P100:P101 Q100:R100 S100:T102 S105:U106">
    <cfRule type="cellIs" dxfId="464" priority="32" stopIfTrue="1" operator="notEqual">
      <formula>#REF!</formula>
    </cfRule>
  </conditionalFormatting>
  <conditionalFormatting sqref="P76">
    <cfRule type="expression" dxfId="463" priority="30">
      <formula>$P$75&lt;&gt;$M$75</formula>
    </cfRule>
  </conditionalFormatting>
  <conditionalFormatting sqref="Y78">
    <cfRule type="expression" dxfId="462" priority="29">
      <formula>$Y$77&lt;&gt;0</formula>
    </cfRule>
  </conditionalFormatting>
  <conditionalFormatting sqref="Q36">
    <cfRule type="expression" dxfId="461" priority="25">
      <formula>#REF!&lt;&gt;#REF!</formula>
    </cfRule>
  </conditionalFormatting>
  <conditionalFormatting sqref="R35">
    <cfRule type="expression" dxfId="460" priority="24">
      <formula>#REF!&lt;&gt;0</formula>
    </cfRule>
  </conditionalFormatting>
  <conditionalFormatting sqref="Q35">
    <cfRule type="expression" dxfId="459" priority="23">
      <formula>#REF!&lt;&gt;0</formula>
    </cfRule>
  </conditionalFormatting>
  <conditionalFormatting sqref="R36">
    <cfRule type="expression" dxfId="458" priority="22">
      <formula>#REF!&lt;&gt;#REF!</formula>
    </cfRule>
  </conditionalFormatting>
  <conditionalFormatting sqref="D99:M99 D98:L98">
    <cfRule type="cellIs" dxfId="457" priority="21" stopIfTrue="1" operator="notEqual">
      <formula>#REF!</formula>
    </cfRule>
  </conditionalFormatting>
  <conditionalFormatting sqref="M77">
    <cfRule type="cellIs" dxfId="456" priority="20" stopIfTrue="1" operator="notEqual">
      <formula>SUM($M$65:$M$76)</formula>
    </cfRule>
  </conditionalFormatting>
  <conditionalFormatting sqref="M89">
    <cfRule type="cellIs" dxfId="455" priority="19" stopIfTrue="1" operator="notEqual">
      <formula>SUM($M$87:$M$88)</formula>
    </cfRule>
  </conditionalFormatting>
  <conditionalFormatting sqref="M84">
    <cfRule type="cellIs" dxfId="454" priority="18" stopIfTrue="1" operator="notEqual">
      <formula>SUM($M$80:$M$83)</formula>
    </cfRule>
  </conditionalFormatting>
  <conditionalFormatting sqref="M62">
    <cfRule type="cellIs" dxfId="453" priority="17" stopIfTrue="1" operator="notEqual">
      <formula>SUM($M$56:$M$61)</formula>
    </cfRule>
  </conditionalFormatting>
  <conditionalFormatting sqref="M15">
    <cfRule type="cellIs" dxfId="452" priority="16" stopIfTrue="1" operator="notEqual">
      <formula>SUM($M$10:$M$14)</formula>
    </cfRule>
  </conditionalFormatting>
  <conditionalFormatting sqref="D98:L98">
    <cfRule type="cellIs" dxfId="451" priority="15" stopIfTrue="1" operator="notEqual">
      <formula>#REF!</formula>
    </cfRule>
  </conditionalFormatting>
  <conditionalFormatting sqref="G64:K64">
    <cfRule type="expression" dxfId="450" priority="14">
      <formula>$R$98&lt;&gt;0</formula>
    </cfRule>
  </conditionalFormatting>
  <conditionalFormatting sqref="O11:P11">
    <cfRule type="expression" dxfId="449" priority="13">
      <formula>#REF!&lt;&gt;$N$11</formula>
    </cfRule>
  </conditionalFormatting>
  <conditionalFormatting sqref="O13">
    <cfRule type="expression" dxfId="448" priority="12">
      <formula>$Q$13&lt;&gt;$N$13</formula>
    </cfRule>
  </conditionalFormatting>
  <conditionalFormatting sqref="O12">
    <cfRule type="expression" dxfId="447" priority="11">
      <formula>$Q$12&lt;&gt;$N$12</formula>
    </cfRule>
  </conditionalFormatting>
  <conditionalFormatting sqref="S91">
    <cfRule type="expression" priority="9" stopIfTrue="1">
      <formula>$N$91&lt;0</formula>
    </cfRule>
    <cfRule type="expression" dxfId="446" priority="10">
      <formula>$T$91&lt;&gt;0</formula>
    </cfRule>
  </conditionalFormatting>
  <conditionalFormatting sqref="S84 S87">
    <cfRule type="expression" dxfId="445" priority="7" stopIfTrue="1">
      <formula>$M$91&gt;=0</formula>
    </cfRule>
    <cfRule type="expression" priority="8">
      <formula>$M$91&lt;0</formula>
    </cfRule>
  </conditionalFormatting>
  <conditionalFormatting sqref="U100:V100 R102 U101 P100:P101 Q100:R100 S100:T102 S105:U106">
    <cfRule type="cellIs" dxfId="444" priority="6" stopIfTrue="1" operator="notEqual">
      <formula>#REF!</formula>
    </cfRule>
  </conditionalFormatting>
  <conditionalFormatting sqref="P76">
    <cfRule type="expression" dxfId="443" priority="5">
      <formula>$P$75&lt;&gt;$M$75</formula>
    </cfRule>
  </conditionalFormatting>
  <conditionalFormatting sqref="Y78">
    <cfRule type="expression" dxfId="442" priority="4">
      <formula>$Y$77&lt;&gt;0</formula>
    </cfRule>
  </conditionalFormatting>
  <conditionalFormatting sqref="Q36:R36">
    <cfRule type="expression" dxfId="441" priority="3">
      <formula>#REF!&lt;&gt;#REF!</formula>
    </cfRule>
  </conditionalFormatting>
  <conditionalFormatting sqref="R35">
    <cfRule type="expression" dxfId="440" priority="2">
      <formula>#REF!&lt;&gt;0</formula>
    </cfRule>
  </conditionalFormatting>
  <conditionalFormatting sqref="Q35">
    <cfRule type="expression" dxfId="439"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 style="53" customWidth="1"/>
    <col min="11" max="16384" width="9.140625" style="53"/>
  </cols>
  <sheetData>
    <row r="1" spans="1:7">
      <c r="B1" s="386" t="str">
        <f>'HSH Chts'!$A$1</f>
        <v>The University of Texas Health Science Center at Houston</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IF('HSH FGD'!$S$83="N/A","FN11.  N/A",$B$14&amp;$B$15&amp;$B$16&amp;$B$17&amp;$B$18&amp;$B$19&amp;$B$20&amp;$B$21&amp;$B$22&amp;$B$23&amp;$B$24)</f>
        <v>FN11: Of the net increase of $47,761,822 approximately $17.7 million represents revenues received but not year expended. This income is fully committed to program expenditures and capital disbursements. The remaining $30.0 million represents non-expendable funds from unrealized gains and additions to permanent endowments of approximately $10.6 million and $19.4 million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TEXT(IF('HSH FGD'!$M$91&lt;0,"N/A",'HSH FGD'!$M$91),"$* #,##0;$* (#,##0)")</f>
        <v>$47,761,822</v>
      </c>
      <c r="C15" s="453"/>
      <c r="F15" s="453"/>
      <c r="G15" s="54"/>
    </row>
    <row r="16" spans="1:7">
      <c r="B16" s="54" t="s">
        <v>611</v>
      </c>
    </row>
    <row r="17" spans="1:6">
      <c r="A17" s="53">
        <v>68</v>
      </c>
      <c r="B17" s="489" t="str">
        <f>IF(ABS('HSH FGD'!$S$84)&gt;=1000000,TEXT('HSH FGD'!$S$84/1000000,"$* #,##0.0;$* (#,##0.0)")&amp;" million",IF(ABS('HSH FGD'!$S$84)&lt;1000,TEXT('HSH FGD'!$S$84,"$* #,##0;$* (#,##0)"),TEXT('HSH FGD'!$S$84/1000,"$* #,##0;$* (#,##0)")&amp;" thousand"))</f>
        <v>$17.7 million</v>
      </c>
      <c r="C17" s="489"/>
      <c r="F17" s="489"/>
    </row>
    <row r="18" spans="1:6">
      <c r="B18" s="54" t="s">
        <v>627</v>
      </c>
    </row>
    <row r="19" spans="1:6">
      <c r="A19" s="53">
        <v>69</v>
      </c>
      <c r="B19" s="53" t="str">
        <f>IF(ABS('HSH FGD'!$S$85)&gt;=1000000,TEXT('HSH FGD'!$S$85/1000000,"$* #,##0.0;$* (#,##0.0)")&amp;" million",IF(ABS('HSH FGD'!$S$85)&lt;1000,TEXT('HSH FGD'!$S$85,"$* #,##0;$* (#,##0)"),TEXT('HSH FGD'!$S$85/1000,"$* #,##0;$* (#,##0)")&amp;" thousand"))</f>
        <v>$30.0 million</v>
      </c>
    </row>
    <row r="20" spans="1:6">
      <c r="B20" s="54" t="s">
        <v>612</v>
      </c>
    </row>
    <row r="21" spans="1:6">
      <c r="A21" s="53">
        <v>71</v>
      </c>
      <c r="B21" s="53" t="str">
        <f>IF(ABS('HSH FGD'!$S$87)&gt;=1000000,TEXT('HSH FGD'!$S$87/1000000,"$* #,##0.0;$* (#,##0.0)")&amp;" million",IF(ABS('HSH FGD'!$S$87)&lt;1000,TEXT('HSH FGD'!$S$87,"$* #,##0;$* (#,##0)"),TEXT('HSH FGD'!$S$87/1000,"$* #,##0;$* (#,##0)")&amp;" thousand"))</f>
        <v>$10.6 million</v>
      </c>
    </row>
    <row r="22" spans="1:6">
      <c r="B22" s="54" t="s">
        <v>613</v>
      </c>
    </row>
    <row r="23" spans="1:6">
      <c r="A23" s="53">
        <v>73</v>
      </c>
      <c r="B23" s="53" t="str">
        <f>IF(ABS('HSH FGD'!$S$89)&gt;=1000000,TEXT('HSH FGD'!$S$89/1000000,"$* #,##0.0;$* (#,##0.0)")&amp;" million",IF(ABS('HSH FGD'!$S$89)&lt;1000,TEXT('HSH FGD'!$S$89,"$* #,##0;$* (#,##0)"),TEXT('HSH FGD'!$S$89/1000,"$* #,##0;$* (#,##0)")&amp;" thousand"))</f>
        <v>$19.4 million</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9.42578125" style="53" customWidth="1"/>
    <col min="3" max="3" width="55" style="53" customWidth="1"/>
    <col min="4" max="4" width="20.140625" style="53" customWidth="1"/>
    <col min="5" max="16384" width="9.140625" style="53"/>
  </cols>
  <sheetData>
    <row r="1" spans="1:5" ht="27.75" customHeight="1">
      <c r="A1" s="146" t="s">
        <v>99</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'HSSA Sum'!A9</f>
        <v>State of Texas</v>
      </c>
      <c r="D11" s="61">
        <f>'HSSA Sum'!B15</f>
        <v>184176527</v>
      </c>
      <c r="E11" s="673">
        <f>ROUND(D11/$D$17,3)</f>
        <v>0.21099999999999999</v>
      </c>
    </row>
    <row r="12" spans="1:5" ht="12.95" customHeight="1">
      <c r="B12" s="56"/>
      <c r="C12" s="60" t="str">
        <f>'HSSA Sum'!A17</f>
        <v>Student &amp; Parent</v>
      </c>
      <c r="D12" s="61">
        <f>'HSSA Sum'!B20</f>
        <v>45947803</v>
      </c>
      <c r="E12" s="673">
        <f t="shared" ref="E12:E15" si="0">ROUND(D12/$D$17,3)</f>
        <v>5.2999999999999999E-2</v>
      </c>
    </row>
    <row r="13" spans="1:5" ht="12.95" customHeight="1">
      <c r="B13" s="56"/>
      <c r="C13" s="60" t="str">
        <f>'HSSA Sum'!A22</f>
        <v>Federal Government</v>
      </c>
      <c r="D13" s="61">
        <f>'HSSA Sum'!B23</f>
        <v>103703491</v>
      </c>
      <c r="E13" s="673">
        <f t="shared" si="0"/>
        <v>0.11899999999999999</v>
      </c>
    </row>
    <row r="14" spans="1:5" ht="12.95" customHeight="1">
      <c r="B14" s="56"/>
      <c r="C14" s="60" t="str">
        <f>'HSSA Sum'!A31</f>
        <v>Institutional Resources</v>
      </c>
      <c r="D14" s="61">
        <f>'HSSA Sum'!B38</f>
        <v>320647893</v>
      </c>
      <c r="E14" s="673">
        <f t="shared" si="0"/>
        <v>0.36799999999999999</v>
      </c>
    </row>
    <row r="15" spans="1:5" ht="12.95" customHeight="1">
      <c r="B15" s="56"/>
      <c r="C15" s="62" t="s">
        <v>58</v>
      </c>
      <c r="D15" s="61">
        <f>'HSSA Sum'!B29+'HSSA Sum'!B26</f>
        <v>216393102</v>
      </c>
      <c r="E15" s="673">
        <f t="shared" si="0"/>
        <v>0.248</v>
      </c>
    </row>
    <row r="16" spans="1:5" ht="12.95" customHeight="1">
      <c r="B16" s="56"/>
      <c r="C16" s="58"/>
      <c r="D16" s="59"/>
    </row>
    <row r="17" spans="1:5" ht="12.95" customHeight="1">
      <c r="B17" s="56"/>
      <c r="C17" s="63" t="s">
        <v>71</v>
      </c>
      <c r="D17" s="64">
        <f>SUM(D11:D16)</f>
        <v>870868816</v>
      </c>
      <c r="E17" s="674">
        <f>SUM(E11:E15)</f>
        <v>0.999</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$870,868,816</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'HSSA Sum'!B10</f>
        <v>169212881</v>
      </c>
      <c r="E53" s="673">
        <f>ROUND(D53/$D$68,3)</f>
        <v>0.19400000000000001</v>
      </c>
    </row>
    <row r="54" spans="1:5" ht="12.95" customHeight="1">
      <c r="C54" s="60" t="s">
        <v>76</v>
      </c>
      <c r="D54" s="61">
        <f>'HSSA Sum'!B11</f>
        <v>14963646</v>
      </c>
      <c r="E54" s="673">
        <f t="shared" ref="E54:E67" si="1">ROUND(D54/$D$68,3)</f>
        <v>1.7000000000000001E-2</v>
      </c>
    </row>
    <row r="55" spans="1:5" ht="12.95" customHeight="1">
      <c r="C55" s="907"/>
      <c r="D55" s="61"/>
      <c r="E55" s="673"/>
    </row>
    <row r="56" spans="1:5" ht="12.95" customHeight="1">
      <c r="C56" s="907" t="str">
        <f>'HSSA Sum'!A13</f>
        <v>Higher Education Fund</v>
      </c>
      <c r="D56" s="61">
        <f>'HSSA Sum'!B13</f>
        <v>0</v>
      </c>
      <c r="E56" s="673">
        <f t="shared" si="1"/>
        <v>0</v>
      </c>
    </row>
    <row r="57" spans="1:5" ht="12.95" customHeight="1">
      <c r="C57" s="907" t="s">
        <v>39</v>
      </c>
      <c r="D57" s="61">
        <f>'HSSA Sum'!B14</f>
        <v>0</v>
      </c>
      <c r="E57" s="673">
        <f t="shared" si="1"/>
        <v>0</v>
      </c>
    </row>
    <row r="58" spans="1:5" ht="12.95" customHeight="1">
      <c r="C58" s="60" t="s">
        <v>77</v>
      </c>
      <c r="D58" s="61">
        <f>'HSSA Sum'!B20</f>
        <v>45947803</v>
      </c>
      <c r="E58" s="673">
        <f t="shared" si="1"/>
        <v>5.2999999999999999E-2</v>
      </c>
    </row>
    <row r="59" spans="1:5" ht="12.95" customHeight="1">
      <c r="C59" s="66" t="s">
        <v>78</v>
      </c>
      <c r="D59" s="61">
        <f>'HSSA Sum'!B23</f>
        <v>103703491</v>
      </c>
      <c r="E59" s="673">
        <f t="shared" si="1"/>
        <v>0.11899999999999999</v>
      </c>
    </row>
    <row r="60" spans="1:5" ht="12.95" customHeight="1">
      <c r="C60" s="60" t="s">
        <v>79</v>
      </c>
      <c r="D60" s="61">
        <f>'HSSA Sum'!B32</f>
        <v>44640215</v>
      </c>
      <c r="E60" s="673">
        <f t="shared" si="1"/>
        <v>5.0999999999999997E-2</v>
      </c>
    </row>
    <row r="61" spans="1:5" ht="12.95" customHeight="1">
      <c r="C61" s="60" t="s">
        <v>198</v>
      </c>
      <c r="D61" s="61">
        <f>'HSSA Sum'!B33</f>
        <v>166396985</v>
      </c>
      <c r="E61" s="673">
        <f t="shared" si="1"/>
        <v>0.191</v>
      </c>
    </row>
    <row r="62" spans="1:5" ht="12.95" customHeight="1">
      <c r="C62" s="60" t="s">
        <v>80</v>
      </c>
      <c r="D62" s="61">
        <f>'HSSA Sum'!B34</f>
        <v>39685800</v>
      </c>
      <c r="E62" s="673">
        <f t="shared" si="1"/>
        <v>4.5999999999999999E-2</v>
      </c>
    </row>
    <row r="63" spans="1:5" ht="12.95" customHeight="1">
      <c r="C63" s="60" t="s">
        <v>81</v>
      </c>
      <c r="D63" s="61">
        <f>'HSSA Sum'!B35</f>
        <v>30442161</v>
      </c>
      <c r="E63" s="673">
        <f t="shared" si="1"/>
        <v>3.5000000000000003E-2</v>
      </c>
    </row>
    <row r="64" spans="1:5" ht="12.95" customHeight="1">
      <c r="C64" s="60" t="s">
        <v>12</v>
      </c>
      <c r="D64" s="61">
        <f>'HSSA Sum'!B36</f>
        <v>5480027</v>
      </c>
      <c r="E64" s="673">
        <f t="shared" si="1"/>
        <v>6.0000000000000001E-3</v>
      </c>
    </row>
    <row r="65" spans="1:5" ht="12.95" customHeight="1">
      <c r="C65" s="66" t="s">
        <v>48</v>
      </c>
      <c r="D65" s="61">
        <f>'HSSA Sum'!B37</f>
        <v>34002705</v>
      </c>
      <c r="E65" s="673">
        <f t="shared" si="1"/>
        <v>3.9E-2</v>
      </c>
    </row>
    <row r="66" spans="1:5" ht="12.95" customHeight="1">
      <c r="C66" s="66" t="s">
        <v>57</v>
      </c>
      <c r="D66" s="61">
        <f>'HSSA Sum'!B26</f>
        <v>216393102</v>
      </c>
      <c r="E66" s="673">
        <f t="shared" si="1"/>
        <v>0.248</v>
      </c>
    </row>
    <row r="67" spans="1:5" ht="12.95" customHeight="1">
      <c r="C67" s="62" t="s">
        <v>58</v>
      </c>
      <c r="D67" s="61">
        <f>'HSSA Sum'!B29</f>
        <v>0</v>
      </c>
      <c r="E67" s="673">
        <f t="shared" si="1"/>
        <v>0</v>
      </c>
    </row>
    <row r="68" spans="1:5" ht="12.95" customHeight="1">
      <c r="C68" s="63" t="s">
        <v>71</v>
      </c>
      <c r="D68" s="64">
        <f>SUM(D53:D67)</f>
        <v>870868816</v>
      </c>
      <c r="E68" s="674">
        <f>SUM(E53:E67)</f>
        <v>0.99900000000000011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$870,868,816</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'HSSA Sum'!B42</f>
        <v>380969177</v>
      </c>
      <c r="E102" s="673">
        <f>ROUND(D102/$D$115,3)</f>
        <v>0.45200000000000001</v>
      </c>
    </row>
    <row r="103" spans="1:5" ht="12.95" customHeight="1">
      <c r="C103" s="68" t="s">
        <v>15</v>
      </c>
      <c r="D103" s="61">
        <f>'HSSA Sum'!B43</f>
        <v>126561477</v>
      </c>
      <c r="E103" s="673">
        <f t="shared" ref="E103:E113" si="2">ROUND(D103/$D$115,3)</f>
        <v>0.15</v>
      </c>
    </row>
    <row r="104" spans="1:5" ht="12.95" customHeight="1">
      <c r="C104" s="68" t="s">
        <v>16</v>
      </c>
      <c r="D104" s="61">
        <f>'HSSA Sum'!B44</f>
        <v>29457888</v>
      </c>
      <c r="E104" s="673">
        <f t="shared" si="2"/>
        <v>3.5000000000000003E-2</v>
      </c>
    </row>
    <row r="105" spans="1:5" ht="12.95" customHeight="1">
      <c r="C105" s="68" t="s">
        <v>17</v>
      </c>
      <c r="D105" s="61">
        <f>'HSSA Sum'!B46</f>
        <v>43260128</v>
      </c>
      <c r="E105" s="673">
        <f t="shared" si="2"/>
        <v>5.0999999999999997E-2</v>
      </c>
    </row>
    <row r="106" spans="1:5" ht="12.95" customHeight="1">
      <c r="C106" s="68" t="s">
        <v>18</v>
      </c>
      <c r="D106" s="61">
        <f>'HSSA Sum'!B47</f>
        <v>2118896</v>
      </c>
      <c r="E106" s="673">
        <f t="shared" si="2"/>
        <v>3.0000000000000001E-3</v>
      </c>
    </row>
    <row r="107" spans="1:5" ht="12.95" customHeight="1">
      <c r="C107" s="68" t="s">
        <v>19</v>
      </c>
      <c r="D107" s="61">
        <f>'HSSA Sum'!B48</f>
        <v>47841835</v>
      </c>
      <c r="E107" s="673">
        <f t="shared" si="2"/>
        <v>5.7000000000000002E-2</v>
      </c>
    </row>
    <row r="108" spans="1:5" ht="12.95" customHeight="1">
      <c r="C108" s="68" t="s">
        <v>82</v>
      </c>
      <c r="D108" s="61">
        <f>'HSSA Sum'!B49</f>
        <v>37591395</v>
      </c>
      <c r="E108" s="673">
        <f t="shared" si="2"/>
        <v>4.4999999999999998E-2</v>
      </c>
    </row>
    <row r="109" spans="1:5" ht="12.95" customHeight="1">
      <c r="C109" s="68" t="s">
        <v>83</v>
      </c>
      <c r="D109" s="61">
        <f>'HSSA Sum'!B50</f>
        <v>4882941</v>
      </c>
      <c r="E109" s="673">
        <f t="shared" si="2"/>
        <v>6.0000000000000001E-3</v>
      </c>
    </row>
    <row r="110" spans="1:5" ht="12.95" customHeight="1">
      <c r="C110" s="68" t="s">
        <v>22</v>
      </c>
      <c r="D110" s="61">
        <f>'HSSA Sum'!B51</f>
        <v>5845168</v>
      </c>
      <c r="E110" s="673">
        <f t="shared" si="2"/>
        <v>7.0000000000000001E-3</v>
      </c>
    </row>
    <row r="111" spans="1:5" ht="12.95" customHeight="1">
      <c r="C111" s="69" t="s">
        <v>27</v>
      </c>
      <c r="D111" s="61">
        <f>'HSSA Sum'!B52</f>
        <v>28235559</v>
      </c>
      <c r="E111" s="673">
        <f t="shared" si="2"/>
        <v>3.3000000000000002E-2</v>
      </c>
    </row>
    <row r="112" spans="1:5" ht="12.95" customHeight="1">
      <c r="C112" s="66" t="s">
        <v>49</v>
      </c>
      <c r="D112" s="61">
        <f>'HSSA Sum'!B53</f>
        <v>5867887</v>
      </c>
      <c r="E112" s="673">
        <f t="shared" si="2"/>
        <v>7.0000000000000001E-3</v>
      </c>
    </row>
    <row r="113" spans="3:5" ht="12.95" customHeight="1">
      <c r="C113" s="62" t="s">
        <v>84</v>
      </c>
      <c r="D113" s="61">
        <f>'HSSA Sum'!B45</f>
        <v>131112226</v>
      </c>
      <c r="E113" s="673">
        <f t="shared" si="2"/>
        <v>0.155</v>
      </c>
    </row>
    <row r="114" spans="3:5" ht="12.95" customHeight="1">
      <c r="C114" s="58"/>
      <c r="D114" s="58"/>
      <c r="E114" s="674"/>
    </row>
    <row r="115" spans="3:5" ht="12.95" customHeight="1">
      <c r="C115" s="70" t="s">
        <v>72</v>
      </c>
      <c r="D115" s="64">
        <f>SUM(D102:D114)</f>
        <v>843744577</v>
      </c>
      <c r="E115" s="674">
        <f>SUM(E102:E113)</f>
        <v>1.0010000000000001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$843,744,577</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28515625" style="74" customWidth="1"/>
    <col min="16" max="16384" width="9.140625" style="74"/>
  </cols>
  <sheetData>
    <row r="1" spans="1:15" ht="17.25" thickTop="1" thickBot="1">
      <c r="A1" s="141" t="str">
        <f>'HSSA Chts'!$A$1</f>
        <v>The University of Texas Health Science Center at San Antonio</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40</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3827.8999999999996</v>
      </c>
      <c r="J6" s="643"/>
      <c r="O6" s="51"/>
    </row>
    <row r="7" spans="1:15">
      <c r="B7" s="79"/>
      <c r="C7" s="5"/>
      <c r="I7" s="683" t="s">
        <v>1114</v>
      </c>
      <c r="J7" s="684"/>
      <c r="O7" s="51"/>
    </row>
    <row r="8" spans="1:15">
      <c r="A8" s="81" t="s">
        <v>74</v>
      </c>
      <c r="B8" s="81"/>
      <c r="C8" s="15"/>
      <c r="I8" s="685">
        <f>VLOOKUP($G$2,FTSELU,11,FALSE)</f>
        <v>1342.99</v>
      </c>
      <c r="J8" s="643"/>
      <c r="O8" s="51"/>
    </row>
    <row r="9" spans="1:15" ht="12.75" customHeight="1" thickBot="1">
      <c r="A9" s="78" t="s">
        <v>0</v>
      </c>
      <c r="B9" s="82"/>
      <c r="C9" s="8"/>
      <c r="J9" s="643"/>
      <c r="O9" s="51"/>
    </row>
    <row r="10" spans="1:15" ht="12.75" customHeight="1" thickTop="1">
      <c r="A10" s="74" t="s">
        <v>1108</v>
      </c>
      <c r="B10" s="83">
        <f>'HSSA FGD'!M10</f>
        <v>169212881</v>
      </c>
      <c r="C10" s="83">
        <f>ROUND(B10/$C$6,0)</f>
        <v>44205</v>
      </c>
      <c r="D10" s="143">
        <f>'HSSA FGD'!F10</f>
        <v>0</v>
      </c>
      <c r="E10" s="143"/>
      <c r="F10" s="84">
        <f>B10-(SUM(D10:E10))</f>
        <v>169212881</v>
      </c>
      <c r="G10" s="980" t="s">
        <v>1</v>
      </c>
      <c r="H10" s="981"/>
      <c r="I10" s="686" t="s">
        <v>1115</v>
      </c>
      <c r="J10" s="644">
        <f>ROUND(F10/$C$6,0)</f>
        <v>44205</v>
      </c>
      <c r="O10" s="51"/>
    </row>
    <row r="11" spans="1:15" ht="12.75" customHeight="1" thickBot="1">
      <c r="A11" s="74" t="s">
        <v>2</v>
      </c>
      <c r="B11" s="86">
        <f>'HSSA FGD'!M11</f>
        <v>14963646</v>
      </c>
      <c r="C11" s="86">
        <f t="shared" ref="C11:C14" si="0">ROUND(B11/$C$6,0)</f>
        <v>3909</v>
      </c>
      <c r="D11" s="284">
        <f>'HSSA FGD'!F11</f>
        <v>0</v>
      </c>
      <c r="E11" s="73"/>
      <c r="F11" s="566">
        <f t="shared" ref="F11:F14" si="1">B11-(SUM(D11:E11))</f>
        <v>14963646</v>
      </c>
      <c r="G11" s="987">
        <f>SUM(F10:F11)</f>
        <v>184176527</v>
      </c>
      <c r="H11" s="777"/>
      <c r="I11" s="791">
        <f>ROUND($G$11/$C$6,0)</f>
        <v>48114</v>
      </c>
      <c r="J11" s="645">
        <f t="shared" ref="J11:J14" si="2">ROUND(F11/$C$6,0)</f>
        <v>3909</v>
      </c>
      <c r="O11" s="51"/>
    </row>
    <row r="12" spans="1:15" ht="12.75" hidden="1" customHeight="1" thickTop="1" thickBot="1">
      <c r="A12" s="74" t="s">
        <v>1345</v>
      </c>
      <c r="B12" s="86"/>
      <c r="C12" s="86"/>
      <c r="D12" s="284"/>
      <c r="E12" s="73"/>
      <c r="F12" s="567"/>
      <c r="J12" s="645"/>
      <c r="O12" s="568"/>
    </row>
    <row r="13" spans="1:15" ht="12.75" customHeight="1" thickTop="1">
      <c r="A13" s="74" t="s">
        <v>1298</v>
      </c>
      <c r="B13" s="86">
        <f>'HSSA FGD'!M13</f>
        <v>0</v>
      </c>
      <c r="C13" s="86">
        <f t="shared" si="0"/>
        <v>0</v>
      </c>
      <c r="D13" s="284">
        <f>'HSSA FGD'!F13</f>
        <v>0</v>
      </c>
      <c r="E13" s="73"/>
      <c r="F13" s="786">
        <f t="shared" si="1"/>
        <v>0</v>
      </c>
      <c r="G13" s="780" t="s">
        <v>86</v>
      </c>
      <c r="H13" s="787"/>
      <c r="I13" s="731" t="s">
        <v>1116</v>
      </c>
      <c r="J13" s="645">
        <f t="shared" si="2"/>
        <v>0</v>
      </c>
      <c r="O13" s="51"/>
    </row>
    <row r="14" spans="1:15" ht="12.75" customHeight="1" thickBot="1">
      <c r="A14" s="74" t="s">
        <v>46</v>
      </c>
      <c r="B14" s="86">
        <f>'HSSA FGD'!M14</f>
        <v>0</v>
      </c>
      <c r="C14" s="86">
        <f t="shared" si="0"/>
        <v>0</v>
      </c>
      <c r="D14" s="284">
        <f>'HSSA FGD'!F14</f>
        <v>0</v>
      </c>
      <c r="E14" s="73"/>
      <c r="F14" s="567">
        <f t="shared" si="1"/>
        <v>0</v>
      </c>
      <c r="G14" s="687">
        <f>SUM(F13:F14)</f>
        <v>0</v>
      </c>
      <c r="H14" s="788"/>
      <c r="I14" s="792">
        <f>ROUND($G$11/$I$8,0)</f>
        <v>137139</v>
      </c>
      <c r="J14" s="689">
        <f t="shared" si="2"/>
        <v>0</v>
      </c>
      <c r="O14" s="51"/>
    </row>
    <row r="15" spans="1:15" ht="12.75" customHeight="1" thickTop="1">
      <c r="A15" s="87" t="s">
        <v>3</v>
      </c>
      <c r="B15" s="88">
        <f>SUM(B10:B14)</f>
        <v>184176527</v>
      </c>
      <c r="C15" s="88">
        <f>SUM(C10:C14)</f>
        <v>48114</v>
      </c>
      <c r="D15" s="88">
        <f>SUM(D10:D14)</f>
        <v>0</v>
      </c>
      <c r="E15" s="88">
        <f>SUM(E10:E14)</f>
        <v>0</v>
      </c>
      <c r="F15" s="646">
        <f>SUM(F10:F14)</f>
        <v>184176527</v>
      </c>
      <c r="I15" s="785"/>
      <c r="J15" s="669">
        <f>SUM(J10:J14)</f>
        <v>48114</v>
      </c>
      <c r="O15" s="51"/>
    </row>
    <row r="16" spans="1:15">
      <c r="C16" s="74"/>
      <c r="J16" s="643"/>
      <c r="O16" s="51"/>
    </row>
    <row r="17" spans="1:15" ht="12.75" customHeight="1">
      <c r="A17" s="78" t="s">
        <v>4</v>
      </c>
      <c r="C17" s="74"/>
      <c r="J17" s="643"/>
      <c r="O17" s="51"/>
    </row>
    <row r="18" spans="1:15">
      <c r="A18" s="74" t="s">
        <v>37</v>
      </c>
      <c r="B18" s="83">
        <f>'HSSA FGD'!M29</f>
        <v>43607729</v>
      </c>
      <c r="C18" s="83">
        <f t="shared" ref="C18:C19" si="3">ROUND(B18/$C$6,0)</f>
        <v>11392</v>
      </c>
      <c r="D18" s="143">
        <f>'HSSA FGD'!$F$29</f>
        <v>0</v>
      </c>
      <c r="E18" s="143"/>
      <c r="F18" s="143">
        <f t="shared" ref="F18:F19" si="4">B18-(SUM(D18:E18))</f>
        <v>43607729</v>
      </c>
      <c r="G18" s="351"/>
      <c r="H18" s="351"/>
      <c r="I18" s="351"/>
      <c r="J18" s="644">
        <f>ROUND(F18/$C$6,0)</f>
        <v>11392</v>
      </c>
      <c r="O18" s="51"/>
    </row>
    <row r="19" spans="1:15" ht="13.5" thickBot="1">
      <c r="A19" s="74" t="s">
        <v>38</v>
      </c>
      <c r="B19" s="86">
        <f>'HSSA FGD'!M42</f>
        <v>2340074</v>
      </c>
      <c r="C19" s="86">
        <f t="shared" si="3"/>
        <v>611</v>
      </c>
      <c r="D19" s="73">
        <f>'HSSA FGD'!$F$42</f>
        <v>2815216</v>
      </c>
      <c r="E19" s="73"/>
      <c r="F19" s="73">
        <f t="shared" si="4"/>
        <v>-475142</v>
      </c>
      <c r="G19" s="351"/>
      <c r="H19" s="351"/>
      <c r="I19" s="351"/>
      <c r="J19" s="645">
        <f>ROUND(F19/$C$6,0)</f>
        <v>-124</v>
      </c>
      <c r="O19" s="51"/>
    </row>
    <row r="20" spans="1:15" ht="14.25" thickTop="1" thickBot="1">
      <c r="A20" s="87" t="s">
        <v>5</v>
      </c>
      <c r="B20" s="88">
        <f>SUM(B18:B19)</f>
        <v>45947803</v>
      </c>
      <c r="C20" s="88">
        <f>SUM(C18:C19)</f>
        <v>12003</v>
      </c>
      <c r="D20" s="647">
        <f>SUM(D18:D19)</f>
        <v>2815216</v>
      </c>
      <c r="E20" s="648">
        <f>SUM(E18:E19)</f>
        <v>0</v>
      </c>
      <c r="F20" s="690">
        <f>SUM(F18:F19)</f>
        <v>43132587</v>
      </c>
      <c r="G20" s="650" t="s">
        <v>87</v>
      </c>
      <c r="H20" s="569"/>
      <c r="I20" s="570"/>
      <c r="J20" s="651">
        <f>SUM(J18:J19)</f>
        <v>11268</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'HSSA FGD'!M47</f>
        <v>103703491</v>
      </c>
      <c r="C23" s="88"/>
      <c r="D23" s="647">
        <f>'HSSA FGD'!F47</f>
        <v>0</v>
      </c>
      <c r="E23" s="648"/>
      <c r="F23" s="690">
        <f>B23-(SUM(D23:E23))</f>
        <v>103703491</v>
      </c>
      <c r="G23" s="652" t="s">
        <v>1162</v>
      </c>
      <c r="H23" s="569"/>
      <c r="I23" s="570"/>
      <c r="J23" s="668">
        <f>ROUND(F23/$C$6,0)</f>
        <v>27091</v>
      </c>
      <c r="O23" s="51"/>
    </row>
    <row r="24" spans="1:15" ht="13.5" thickTop="1">
      <c r="C24" s="74"/>
      <c r="J24" s="643"/>
      <c r="O24" s="51"/>
    </row>
    <row r="25" spans="1:15">
      <c r="A25" s="78" t="s">
        <v>57</v>
      </c>
      <c r="C25" s="74"/>
      <c r="D25" s="73"/>
      <c r="H25" s="351"/>
      <c r="J25" s="643"/>
      <c r="O25" s="51"/>
    </row>
    <row r="26" spans="1:15">
      <c r="A26" s="87" t="s">
        <v>56</v>
      </c>
      <c r="B26" s="88">
        <f>'HSSA FGD'!M50</f>
        <v>216393102</v>
      </c>
      <c r="C26" s="88"/>
      <c r="D26" s="88">
        <f>'HSSA FGD'!F50</f>
        <v>0</v>
      </c>
      <c r="E26" s="88">
        <f>B26-D26</f>
        <v>216393102</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'HSSA FGD'!M53</f>
        <v>0</v>
      </c>
      <c r="C29" s="88"/>
      <c r="D29" s="88">
        <f>'HSSA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'HSSA FGD'!M56</f>
        <v>44640215</v>
      </c>
      <c r="C32" s="83"/>
      <c r="D32" s="143">
        <f>'HSSA FGD'!F56</f>
        <v>0</v>
      </c>
      <c r="E32" s="143"/>
      <c r="F32" s="143">
        <f t="shared" ref="F32:F37" si="7">B32-(SUM(D32:E32))</f>
        <v>44640215</v>
      </c>
      <c r="G32" s="351"/>
      <c r="H32" s="351"/>
      <c r="I32" s="351"/>
      <c r="J32" s="644">
        <f>ROUND(F32/$C$6,0)</f>
        <v>11662</v>
      </c>
      <c r="O32" s="51"/>
    </row>
    <row r="33" spans="1:30">
      <c r="A33" s="74" t="s">
        <v>9</v>
      </c>
      <c r="B33" s="86">
        <f>'HSSA FGD'!M57</f>
        <v>166396985</v>
      </c>
      <c r="C33" s="86"/>
      <c r="D33" s="284">
        <f>'HSSA FGD'!F57</f>
        <v>0</v>
      </c>
      <c r="E33" s="73"/>
      <c r="F33" s="73">
        <f t="shared" si="7"/>
        <v>166396985</v>
      </c>
      <c r="G33" s="351"/>
      <c r="H33" s="351"/>
      <c r="I33" s="351"/>
      <c r="J33" s="645">
        <f t="shared" ref="J33:J37" si="8">ROUND(F33/$C$6,0)</f>
        <v>43470</v>
      </c>
      <c r="O33" s="51"/>
    </row>
    <row r="34" spans="1:30" ht="13.5" thickBot="1">
      <c r="A34" s="74" t="s">
        <v>10</v>
      </c>
      <c r="B34" s="86">
        <f>'HSSA FGD'!M58</f>
        <v>39685800</v>
      </c>
      <c r="C34" s="86"/>
      <c r="D34" s="284">
        <f>'HSSA FGD'!F58</f>
        <v>0</v>
      </c>
      <c r="E34" s="73"/>
      <c r="F34" s="73">
        <f t="shared" si="7"/>
        <v>39685800</v>
      </c>
      <c r="G34" s="351"/>
      <c r="H34" s="351"/>
      <c r="I34" s="351"/>
      <c r="J34" s="645">
        <f t="shared" si="8"/>
        <v>10368</v>
      </c>
      <c r="O34" s="51"/>
    </row>
    <row r="35" spans="1:30" ht="13.5" thickBot="1">
      <c r="A35" s="74" t="s">
        <v>11</v>
      </c>
      <c r="B35" s="86">
        <f>'HSSA FGD'!M59</f>
        <v>30442161</v>
      </c>
      <c r="C35" s="86"/>
      <c r="D35" s="284">
        <f>'HSSA FGD'!F59</f>
        <v>0</v>
      </c>
      <c r="E35" s="73"/>
      <c r="F35" s="73">
        <f t="shared" si="7"/>
        <v>30442161</v>
      </c>
      <c r="G35" s="351"/>
      <c r="H35" s="351"/>
      <c r="I35" s="351"/>
      <c r="J35" s="645">
        <f t="shared" si="8"/>
        <v>7953</v>
      </c>
      <c r="K35" s="1262"/>
      <c r="L35" s="1245"/>
      <c r="M35" s="1245"/>
      <c r="N35" s="1245"/>
      <c r="O35" s="1246"/>
    </row>
    <row r="36" spans="1:30" ht="13.5" thickBot="1">
      <c r="A36" s="92" t="s">
        <v>1362</v>
      </c>
      <c r="B36" s="86">
        <f>'HSSA FGD'!M60</f>
        <v>5480027</v>
      </c>
      <c r="C36" s="86"/>
      <c r="D36" s="284">
        <f>'HSSA FGD'!F60</f>
        <v>5480027</v>
      </c>
      <c r="E36" s="73"/>
      <c r="F36" s="73">
        <f t="shared" si="7"/>
        <v>0</v>
      </c>
      <c r="G36" s="351"/>
      <c r="H36" s="351"/>
      <c r="I36" s="351"/>
      <c r="J36" s="645">
        <f t="shared" si="8"/>
        <v>0</v>
      </c>
      <c r="K36" s="1262" t="s">
        <v>1017</v>
      </c>
      <c r="L36" s="1245"/>
      <c r="M36" s="1245"/>
      <c r="N36" s="1245"/>
      <c r="O36" s="1246"/>
    </row>
    <row r="37" spans="1:30" ht="13.5" customHeight="1" thickBot="1">
      <c r="A37" s="93" t="s">
        <v>41</v>
      </c>
      <c r="B37" s="86">
        <f>'HSSA FGD'!M61</f>
        <v>34002705</v>
      </c>
      <c r="C37" s="86"/>
      <c r="D37" s="284">
        <f>'HSSA FGD'!F61</f>
        <v>0</v>
      </c>
      <c r="E37" s="73"/>
      <c r="F37" s="73">
        <f t="shared" si="7"/>
        <v>34002705</v>
      </c>
      <c r="G37" s="24"/>
      <c r="H37" s="24"/>
      <c r="I37" s="577"/>
      <c r="J37" s="645">
        <f t="shared" si="8"/>
        <v>8883</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320647893</v>
      </c>
      <c r="C38" s="88"/>
      <c r="D38" s="291">
        <f>SUM(D32:D37)</f>
        <v>5480027</v>
      </c>
      <c r="E38" s="291">
        <f>SUM(E32:E37)</f>
        <v>0</v>
      </c>
      <c r="F38" s="692">
        <f>SUM(F32:F37)</f>
        <v>315167866</v>
      </c>
      <c r="G38" s="1259" t="s">
        <v>8</v>
      </c>
      <c r="H38" s="1260"/>
      <c r="I38" s="693" t="s">
        <v>1118</v>
      </c>
      <c r="J38" s="653">
        <f>SUM(J32:J37)</f>
        <v>82336</v>
      </c>
      <c r="K38" s="1264"/>
      <c r="L38" s="1264"/>
      <c r="M38" s="1264"/>
      <c r="N38" s="1264" t="s">
        <v>1021</v>
      </c>
      <c r="O38" s="1264" t="s">
        <v>1022</v>
      </c>
    </row>
    <row r="39" spans="1:30" ht="13.5" thickTop="1">
      <c r="A39" s="94" t="s">
        <v>71</v>
      </c>
      <c r="B39" s="47">
        <f>B15+B20+B23+B26+B29+B38</f>
        <v>870868816</v>
      </c>
      <c r="C39" s="139"/>
      <c r="D39" s="47">
        <f>D15+D20+D23+D26+D29+D38</f>
        <v>8295243</v>
      </c>
      <c r="E39" s="47">
        <f>E15+E20+E23+E26+E29+E38</f>
        <v>216393102</v>
      </c>
      <c r="F39" s="778">
        <f>F38+F23+F20+F15</f>
        <v>646180471</v>
      </c>
      <c r="G39" s="1261" t="s">
        <v>89</v>
      </c>
      <c r="H39" s="1261"/>
      <c r="I39" s="793">
        <f>ROUND($G$41/$C$6,0)</f>
        <v>168808</v>
      </c>
      <c r="J39" s="654">
        <f>J15+J20+J23+J38</f>
        <v>168809</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646180471</v>
      </c>
      <c r="I41" s="1046">
        <f>ROUND($G$41/$I$8,0)</f>
        <v>481151</v>
      </c>
      <c r="K41" s="571"/>
      <c r="L41" s="571"/>
      <c r="M41" s="571"/>
      <c r="N41" s="571"/>
      <c r="O41" s="571"/>
    </row>
    <row r="42" spans="1:30" ht="13.5" thickTop="1">
      <c r="A42" s="95" t="s">
        <v>14</v>
      </c>
      <c r="B42" s="83">
        <f>'HSSA FGD'!M65</f>
        <v>380969177</v>
      </c>
      <c r="C42" s="83">
        <f t="shared" ref="C42:C52" si="9">ROUND(B42/$C$6,0)</f>
        <v>99524</v>
      </c>
      <c r="D42" s="143">
        <f>'HSSA FGD'!F65</f>
        <v>0</v>
      </c>
      <c r="E42" s="143"/>
      <c r="F42" s="143">
        <f t="shared" ref="F42" si="10">B42-(SUM(D42:E42))</f>
        <v>380969177</v>
      </c>
      <c r="G42" s="351"/>
      <c r="H42" s="1048" t="s">
        <v>1394</v>
      </c>
      <c r="I42" s="1047">
        <f>ROUND(F42/$C$6,0)</f>
        <v>99524</v>
      </c>
      <c r="J42" s="351" t="s">
        <v>669</v>
      </c>
      <c r="K42" s="143">
        <f>F42</f>
        <v>380969177</v>
      </c>
      <c r="L42" s="143">
        <f>K42</f>
        <v>380969177</v>
      </c>
      <c r="M42" s="143"/>
      <c r="N42" s="143"/>
      <c r="O42" s="143"/>
    </row>
    <row r="43" spans="1:30">
      <c r="A43" s="95" t="s">
        <v>15</v>
      </c>
      <c r="B43" s="86">
        <f>'HSSA FGD'!M66</f>
        <v>126561477</v>
      </c>
      <c r="C43" s="86">
        <f t="shared" si="9"/>
        <v>33063</v>
      </c>
      <c r="D43" s="357">
        <f>'HSSA FGD'!F66</f>
        <v>0</v>
      </c>
      <c r="E43" s="73"/>
      <c r="F43" s="73">
        <f t="shared" ref="F43:F44" si="11">B43-(SUM(D43:E43))</f>
        <v>126561477</v>
      </c>
      <c r="G43" s="351"/>
      <c r="H43" s="351"/>
      <c r="J43" s="351" t="s">
        <v>1093</v>
      </c>
      <c r="K43" s="357">
        <f>F43</f>
        <v>126561477</v>
      </c>
      <c r="L43" s="357">
        <f>K43</f>
        <v>126561477</v>
      </c>
      <c r="M43" s="357"/>
      <c r="N43" s="357"/>
      <c r="O43" s="357"/>
    </row>
    <row r="44" spans="1:30">
      <c r="A44" s="95" t="s">
        <v>16</v>
      </c>
      <c r="B44" s="86">
        <f>'HSSA FGD'!M67</f>
        <v>29457888</v>
      </c>
      <c r="C44" s="86"/>
      <c r="D44" s="357">
        <f>'HSSA FGD'!F67</f>
        <v>0</v>
      </c>
      <c r="E44" s="284">
        <f>B44-D44</f>
        <v>29457888</v>
      </c>
      <c r="F44" s="73">
        <f t="shared" si="11"/>
        <v>0</v>
      </c>
      <c r="G44" s="351"/>
      <c r="H44" s="351"/>
      <c r="I44" s="351"/>
      <c r="J44" s="351" t="s">
        <v>1094</v>
      </c>
      <c r="K44" s="670"/>
      <c r="L44" s="671"/>
      <c r="M44" s="671" t="s">
        <v>1095</v>
      </c>
      <c r="N44" s="671"/>
      <c r="O44" s="672"/>
    </row>
    <row r="45" spans="1:30">
      <c r="A45" s="96" t="s">
        <v>55</v>
      </c>
      <c r="B45" s="86">
        <f>'HSSA FGD'!M68</f>
        <v>131112226</v>
      </c>
      <c r="C45" s="86"/>
      <c r="D45" s="357">
        <f>'HSSA FGD'!F68</f>
        <v>0</v>
      </c>
      <c r="E45" s="284">
        <f>B45-D45</f>
        <v>131112226</v>
      </c>
      <c r="F45" s="73">
        <f t="shared" ref="F45" si="12">B45-(SUM(D45:E45))</f>
        <v>0</v>
      </c>
      <c r="G45" s="776"/>
      <c r="J45" s="51" t="s">
        <v>1096</v>
      </c>
      <c r="K45" s="1266" t="s">
        <v>1095</v>
      </c>
      <c r="L45" s="1267"/>
      <c r="M45" s="1267"/>
      <c r="N45" s="1267"/>
      <c r="O45" s="1268"/>
    </row>
    <row r="46" spans="1:30">
      <c r="A46" s="95" t="s">
        <v>17</v>
      </c>
      <c r="B46" s="86">
        <f>'HSSA FGD'!M69</f>
        <v>43260128</v>
      </c>
      <c r="C46" s="86">
        <f t="shared" si="9"/>
        <v>11301</v>
      </c>
      <c r="D46" s="357">
        <f>'HSSA FGD'!F69</f>
        <v>0</v>
      </c>
      <c r="E46" s="73"/>
      <c r="F46" s="73">
        <f t="shared" ref="F46:F53" si="13">B46-(SUM(D46:E46))</f>
        <v>43260128</v>
      </c>
      <c r="G46" s="351"/>
      <c r="H46" s="1048" t="s">
        <v>1395</v>
      </c>
      <c r="I46" s="1047">
        <f>ROUND(F46/$C$6,0)</f>
        <v>11301</v>
      </c>
      <c r="J46" s="351" t="s">
        <v>1097</v>
      </c>
      <c r="K46" s="357">
        <f t="shared" ref="K46:K50" si="14">F46</f>
        <v>43260128</v>
      </c>
      <c r="L46" s="357">
        <f>K46</f>
        <v>43260128</v>
      </c>
      <c r="M46" s="357"/>
      <c r="N46" s="357"/>
      <c r="O46" s="357"/>
    </row>
    <row r="47" spans="1:30">
      <c r="A47" s="95" t="s">
        <v>18</v>
      </c>
      <c r="B47" s="86">
        <f>'HSSA FGD'!M70</f>
        <v>2118896</v>
      </c>
      <c r="C47" s="86">
        <f t="shared" si="9"/>
        <v>554</v>
      </c>
      <c r="D47" s="357">
        <f>'HSSA FGD'!F70</f>
        <v>0</v>
      </c>
      <c r="E47" s="73"/>
      <c r="F47" s="73">
        <f t="shared" si="13"/>
        <v>2118896</v>
      </c>
      <c r="G47" s="351"/>
      <c r="H47" s="351"/>
      <c r="I47" s="351"/>
      <c r="J47" s="351" t="s">
        <v>1098</v>
      </c>
      <c r="K47" s="357">
        <f t="shared" si="14"/>
        <v>2118896</v>
      </c>
      <c r="L47" s="357"/>
      <c r="M47" s="357">
        <f>K47</f>
        <v>2118896</v>
      </c>
      <c r="N47" s="357"/>
      <c r="O47" s="357"/>
    </row>
    <row r="48" spans="1:30">
      <c r="A48" s="95" t="s">
        <v>19</v>
      </c>
      <c r="B48" s="86">
        <f>'HSSA FGD'!M71</f>
        <v>47841835</v>
      </c>
      <c r="C48" s="86">
        <f t="shared" si="9"/>
        <v>12498</v>
      </c>
      <c r="D48" s="357">
        <f>'HSSA FGD'!F71</f>
        <v>0</v>
      </c>
      <c r="E48" s="73"/>
      <c r="F48" s="73">
        <f t="shared" si="13"/>
        <v>47841835</v>
      </c>
      <c r="G48" s="351"/>
      <c r="H48" s="1048" t="s">
        <v>1396</v>
      </c>
      <c r="I48" s="1047">
        <f>ROUND(F48/$C$6,0)</f>
        <v>12498</v>
      </c>
      <c r="J48" s="351" t="s">
        <v>675</v>
      </c>
      <c r="K48" s="357">
        <f t="shared" si="14"/>
        <v>47841835</v>
      </c>
      <c r="L48" s="357"/>
      <c r="M48" s="357"/>
      <c r="N48" s="357">
        <f>K48</f>
        <v>47841835</v>
      </c>
      <c r="O48" s="357"/>
    </row>
    <row r="49" spans="1:30">
      <c r="A49" s="95" t="s">
        <v>20</v>
      </c>
      <c r="B49" s="86">
        <f>'HSSA FGD'!M72</f>
        <v>37591395</v>
      </c>
      <c r="C49" s="86"/>
      <c r="D49" s="357">
        <f>'HSSA FGD'!F72</f>
        <v>0</v>
      </c>
      <c r="E49" s="73"/>
      <c r="F49" s="73">
        <f t="shared" si="13"/>
        <v>37591395</v>
      </c>
      <c r="G49" s="351"/>
      <c r="H49" s="351"/>
      <c r="I49" s="351"/>
      <c r="J49" s="351" t="s">
        <v>676</v>
      </c>
      <c r="K49" s="357">
        <f t="shared" si="14"/>
        <v>37591395</v>
      </c>
      <c r="L49" s="357"/>
      <c r="M49" s="357"/>
      <c r="N49" s="357">
        <f>K49</f>
        <v>37591395</v>
      </c>
      <c r="O49" s="357"/>
    </row>
    <row r="50" spans="1:30">
      <c r="A50" s="95" t="s">
        <v>21</v>
      </c>
      <c r="B50" s="86">
        <f>'HSSA FGD'!M73</f>
        <v>4882941</v>
      </c>
      <c r="C50" s="86">
        <f t="shared" si="9"/>
        <v>1276</v>
      </c>
      <c r="D50" s="357">
        <f>'HSSA FGD'!F73</f>
        <v>0</v>
      </c>
      <c r="E50" s="73"/>
      <c r="F50" s="73">
        <f t="shared" si="13"/>
        <v>4882941</v>
      </c>
      <c r="G50" s="351"/>
      <c r="H50" s="351"/>
      <c r="I50" s="351"/>
      <c r="J50" s="351" t="s">
        <v>1099</v>
      </c>
      <c r="K50" s="357">
        <f t="shared" si="14"/>
        <v>4882941</v>
      </c>
      <c r="L50" s="357"/>
      <c r="M50" s="357">
        <f>K50</f>
        <v>4882941</v>
      </c>
      <c r="N50" s="357"/>
      <c r="O50" s="357"/>
    </row>
    <row r="51" spans="1:30">
      <c r="A51" s="95" t="s">
        <v>1363</v>
      </c>
      <c r="B51" s="86">
        <f>'HSSA FGD'!M74</f>
        <v>5845168</v>
      </c>
      <c r="C51" s="86"/>
      <c r="D51" s="657">
        <f>B51</f>
        <v>5845168</v>
      </c>
      <c r="E51" s="73"/>
      <c r="F51" s="73">
        <f t="shared" si="13"/>
        <v>0</v>
      </c>
      <c r="G51" s="351"/>
      <c r="H51" s="351"/>
      <c r="I51" s="351"/>
      <c r="J51" s="351" t="s">
        <v>660</v>
      </c>
      <c r="K51" s="670"/>
      <c r="L51" s="671"/>
      <c r="M51" s="671" t="s">
        <v>1095</v>
      </c>
      <c r="N51" s="671"/>
      <c r="O51" s="672"/>
    </row>
    <row r="52" spans="1:30">
      <c r="A52" s="95" t="s">
        <v>65</v>
      </c>
      <c r="B52" s="86">
        <f>'HSSA FGD'!M75</f>
        <v>28235559</v>
      </c>
      <c r="C52" s="86">
        <f t="shared" si="9"/>
        <v>7376</v>
      </c>
      <c r="D52" s="357">
        <f>'HSSA FGD'!F75</f>
        <v>592091</v>
      </c>
      <c r="E52" s="73"/>
      <c r="F52" s="73">
        <f t="shared" si="13"/>
        <v>27643468</v>
      </c>
      <c r="G52" s="351"/>
      <c r="J52" s="351" t="s">
        <v>1100</v>
      </c>
      <c r="K52" s="357">
        <f t="shared" ref="K52:K53" si="15">F52</f>
        <v>27643468</v>
      </c>
      <c r="L52" s="357"/>
      <c r="M52" s="357"/>
      <c r="N52" s="357"/>
      <c r="O52" s="357">
        <f>K52</f>
        <v>27643468</v>
      </c>
    </row>
    <row r="53" spans="1:30" ht="13.5" thickBot="1">
      <c r="A53" s="74" t="s">
        <v>47</v>
      </c>
      <c r="B53" s="86">
        <f>'HSSA FGD'!M76</f>
        <v>5867887</v>
      </c>
      <c r="C53" s="86"/>
      <c r="D53" s="357">
        <f>'HSSA FGD'!F76</f>
        <v>0</v>
      </c>
      <c r="E53" s="73"/>
      <c r="F53" s="73">
        <f t="shared" si="13"/>
        <v>5867887</v>
      </c>
      <c r="G53" s="24"/>
      <c r="H53" s="1048" t="s">
        <v>1397</v>
      </c>
      <c r="I53" s="1047">
        <f>ROUND(SUM(F43+F47+F49+F50+F52+F53)/$C$6,0)</f>
        <v>53467</v>
      </c>
      <c r="J53" s="572" t="s">
        <v>1022</v>
      </c>
      <c r="K53" s="357">
        <f t="shared" si="15"/>
        <v>5867887</v>
      </c>
      <c r="L53" s="573"/>
      <c r="M53" s="573"/>
      <c r="N53" s="573"/>
      <c r="O53" s="357">
        <f>K53</f>
        <v>5867887</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843744577</v>
      </c>
      <c r="C54" s="48">
        <f>SUM(C42:C53)</f>
        <v>165592</v>
      </c>
      <c r="D54" s="48">
        <f>SUM(D42:D53)</f>
        <v>6437259</v>
      </c>
      <c r="E54" s="698">
        <f>SUM(E43:E53)</f>
        <v>160570114</v>
      </c>
      <c r="F54" s="649">
        <f>SUM(F42:F53)</f>
        <v>676737204</v>
      </c>
      <c r="G54" s="1279" t="s">
        <v>1121</v>
      </c>
      <c r="H54" s="1280"/>
      <c r="I54" s="697" t="s">
        <v>1398</v>
      </c>
      <c r="J54" s="572" t="s">
        <v>1101</v>
      </c>
      <c r="K54" s="574">
        <f>SUM(K42:K53)</f>
        <v>676737204</v>
      </c>
      <c r="L54" s="574">
        <f t="shared" ref="L54:O54" si="16">SUM(L42:L53)</f>
        <v>550790782</v>
      </c>
      <c r="M54" s="574">
        <f t="shared" si="16"/>
        <v>7001837</v>
      </c>
      <c r="N54" s="574">
        <f t="shared" si="16"/>
        <v>85433230</v>
      </c>
      <c r="O54" s="574">
        <f t="shared" si="16"/>
        <v>33511355</v>
      </c>
    </row>
    <row r="55" spans="1:30" ht="14.25" customHeight="1" thickTop="1" thickBot="1">
      <c r="A55" s="92"/>
      <c r="C55" s="74"/>
      <c r="F55" s="575"/>
      <c r="G55" s="1281"/>
      <c r="H55" s="1282"/>
      <c r="I55" s="699">
        <f>ROUND(F54/C6,0)</f>
        <v>176791</v>
      </c>
      <c r="J55" s="1258" t="s">
        <v>1102</v>
      </c>
      <c r="K55" s="573"/>
      <c r="L55" s="573"/>
      <c r="M55" s="573"/>
      <c r="N55" s="573"/>
      <c r="O55" s="573"/>
    </row>
    <row r="56" spans="1:30" ht="16.5" customHeight="1" thickBot="1">
      <c r="A56" s="78" t="s">
        <v>23</v>
      </c>
      <c r="C56" s="74"/>
      <c r="F56" s="576"/>
      <c r="G56" s="1283"/>
      <c r="H56" s="1284"/>
      <c r="I56" s="693" t="s">
        <v>1399</v>
      </c>
      <c r="J56" s="1258"/>
      <c r="K56" s="700">
        <f>ROUND(K54/$C$6,2)</f>
        <v>176790.72</v>
      </c>
      <c r="L56" s="700">
        <f t="shared" ref="L56:O56" si="17">ROUND(L54/$C$6,2)</f>
        <v>143888.5</v>
      </c>
      <c r="M56" s="700">
        <f t="shared" si="17"/>
        <v>1829.16</v>
      </c>
      <c r="N56" s="700">
        <f t="shared" si="17"/>
        <v>22318.560000000001</v>
      </c>
      <c r="O56" s="700">
        <f t="shared" si="17"/>
        <v>8754.5</v>
      </c>
      <c r="P56" s="89"/>
      <c r="Q56" s="89"/>
      <c r="R56" s="89"/>
      <c r="S56" s="89"/>
      <c r="T56" s="89"/>
      <c r="U56" s="89"/>
      <c r="V56" s="89"/>
      <c r="W56" s="89"/>
      <c r="X56" s="89"/>
      <c r="Y56" s="89"/>
      <c r="Z56" s="89"/>
      <c r="AA56" s="89"/>
      <c r="AB56" s="89"/>
      <c r="AC56" s="89"/>
      <c r="AD56" s="89"/>
    </row>
    <row r="57" spans="1:30" ht="13.5" thickTop="1">
      <c r="A57" s="74" t="s">
        <v>66</v>
      </c>
      <c r="B57" s="86">
        <f>'HSSA FGD'!M80</f>
        <v>-81094986</v>
      </c>
      <c r="C57" s="86"/>
      <c r="D57" s="143">
        <f>'HSSA FGD'!F80</f>
        <v>0</v>
      </c>
      <c r="E57" s="143"/>
      <c r="F57" s="1045">
        <f t="shared" ref="F57:F60" si="18">B57-(SUM(D57:E57))</f>
        <v>-81094986</v>
      </c>
      <c r="G57" s="780"/>
      <c r="I57" s="696">
        <f>ROUND($F$54/$I$8,0)</f>
        <v>503903</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'HSSA FGD'!M81</f>
        <v>2320378</v>
      </c>
      <c r="C58" s="86"/>
      <c r="D58" s="285">
        <f>'HSSA FGD'!F81</f>
        <v>-464313</v>
      </c>
      <c r="E58" s="82"/>
      <c r="F58" s="73">
        <f t="shared" si="18"/>
        <v>2784691</v>
      </c>
      <c r="G58" s="351"/>
      <c r="J58" s="351"/>
      <c r="K58" s="578"/>
      <c r="L58" s="578"/>
      <c r="M58" s="578"/>
      <c r="N58" s="578"/>
      <c r="O58" s="578"/>
    </row>
    <row r="59" spans="1:30">
      <c r="A59" s="98" t="s">
        <v>52</v>
      </c>
      <c r="B59" s="86">
        <f>'HSSA FGD'!M82</f>
        <v>70419687</v>
      </c>
      <c r="C59" s="86"/>
      <c r="D59" s="285">
        <f>'HSSA FGD'!F82</f>
        <v>0</v>
      </c>
      <c r="E59" s="82"/>
      <c r="F59" s="73">
        <f t="shared" si="18"/>
        <v>70419687</v>
      </c>
      <c r="G59" s="24"/>
      <c r="J59" s="658"/>
      <c r="K59" s="658"/>
      <c r="L59" s="658"/>
      <c r="M59" s="658"/>
      <c r="N59" s="658"/>
      <c r="O59" s="658"/>
    </row>
    <row r="60" spans="1:30" ht="12" customHeight="1">
      <c r="A60" s="74" t="s">
        <v>43</v>
      </c>
      <c r="B60" s="86">
        <f>'HSSA FGD'!M83</f>
        <v>-30480757</v>
      </c>
      <c r="C60" s="86"/>
      <c r="D60" s="285">
        <f>'HSSA FGD'!F83</f>
        <v>-1411098</v>
      </c>
      <c r="E60" s="82"/>
      <c r="F60" s="73">
        <f t="shared" si="18"/>
        <v>-29069659</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-38835678</v>
      </c>
      <c r="C61" s="88"/>
      <c r="D61" s="88">
        <f>SUM(D57:D60)</f>
        <v>-1875411</v>
      </c>
      <c r="E61" s="88">
        <f>SUM(E57:E60)</f>
        <v>0</v>
      </c>
      <c r="F61" s="99">
        <f>SUM(F57:F60)</f>
        <v>-36960267</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'HSSA FGD'!M87</f>
        <v>26096012</v>
      </c>
      <c r="C64" s="86"/>
      <c r="D64" s="143">
        <f>'HSSA FGD'!F87</f>
        <v>0</v>
      </c>
      <c r="E64" s="143"/>
      <c r="F64" s="143">
        <f t="shared" ref="F64:F65" si="19">B64-(SUM(D64:E64))</f>
        <v>26096012</v>
      </c>
      <c r="O64" s="51"/>
    </row>
    <row r="65" spans="1:30">
      <c r="A65" s="74" t="s">
        <v>45</v>
      </c>
      <c r="B65" s="86">
        <f>'HSSA FGD'!M88</f>
        <v>9978440</v>
      </c>
      <c r="C65" s="86"/>
      <c r="D65" s="285">
        <f>'HSSA FGD'!F88</f>
        <v>0</v>
      </c>
      <c r="E65" s="82"/>
      <c r="F65" s="73">
        <f t="shared" si="19"/>
        <v>9978440</v>
      </c>
      <c r="O65" s="51"/>
      <c r="P65" s="89"/>
      <c r="Q65" s="89"/>
      <c r="R65" s="89"/>
      <c r="S65" s="89"/>
      <c r="T65" s="89"/>
      <c r="U65" s="89"/>
      <c r="V65" s="89"/>
      <c r="W65" s="89"/>
      <c r="X65" s="89"/>
      <c r="Y65" s="89"/>
      <c r="Z65" s="89"/>
      <c r="AA65" s="89"/>
      <c r="AB65" s="89"/>
      <c r="AC65" s="89"/>
      <c r="AD65" s="89"/>
    </row>
    <row r="66" spans="1:30" s="92" customFormat="1">
      <c r="A66" s="87" t="s">
        <v>3</v>
      </c>
      <c r="B66" s="88">
        <f>SUM(B64:B65)</f>
        <v>36074452</v>
      </c>
      <c r="C66" s="88"/>
      <c r="D66" s="88">
        <f>SUM(D64:D65)</f>
        <v>0</v>
      </c>
      <c r="E66" s="88">
        <f>SUM(E64:E65)</f>
        <v>0</v>
      </c>
      <c r="F66" s="88">
        <f>SUM(F64:F65)</f>
        <v>36074452</v>
      </c>
      <c r="G66" s="51"/>
      <c r="H66" s="51"/>
      <c r="I66" s="51"/>
      <c r="J66" s="51"/>
      <c r="K66" s="51"/>
      <c r="L66" s="51"/>
      <c r="M66" s="51"/>
      <c r="N66" s="51"/>
      <c r="O66" s="51"/>
    </row>
    <row r="67" spans="1:30">
      <c r="C67" s="74"/>
      <c r="O67" s="51"/>
    </row>
    <row r="68" spans="1:30" ht="13.5" thickBot="1">
      <c r="A68" s="100" t="s">
        <v>616</v>
      </c>
      <c r="B68" s="49">
        <f>B39-B54+B61+B66</f>
        <v>24363013</v>
      </c>
      <c r="C68" s="49"/>
      <c r="D68" s="49">
        <f>D39-D54+D61+D66</f>
        <v>-17427</v>
      </c>
      <c r="E68" s="49">
        <f>E39-E54+E61+E66</f>
        <v>55822988</v>
      </c>
      <c r="F68" s="49">
        <f>F39-F54+F61+F66</f>
        <v>-31442548</v>
      </c>
      <c r="O68" s="51"/>
    </row>
    <row r="69" spans="1:30" ht="13.5" thickTop="1"/>
    <row r="70" spans="1:30">
      <c r="A70" s="51" t="s">
        <v>1109</v>
      </c>
      <c r="D70" s="143"/>
    </row>
    <row r="71" spans="1:30">
      <c r="A71" s="74" t="s">
        <v>51</v>
      </c>
    </row>
    <row r="72" spans="1:30">
      <c r="B72" s="659">
        <f>'HSSA FGD'!$M$91</f>
        <v>24363013</v>
      </c>
      <c r="C72" s="74"/>
      <c r="D72" s="659">
        <f>'HSSA FGD'!F91</f>
        <v>-17427</v>
      </c>
      <c r="E72" s="659">
        <f>'HSSA FGD'!M50</f>
        <v>216393102</v>
      </c>
      <c r="F72" s="74"/>
    </row>
    <row r="73" spans="1:30">
      <c r="B73" s="659"/>
      <c r="C73" s="74"/>
      <c r="D73" s="659">
        <f>'HSSA FGD'!F74</f>
        <v>5845168</v>
      </c>
      <c r="E73" s="659">
        <f>'HSSA FGD'!M53</f>
        <v>0</v>
      </c>
      <c r="F73" s="659"/>
    </row>
    <row r="74" spans="1:30">
      <c r="B74" s="676"/>
      <c r="C74" s="92"/>
      <c r="D74" s="676">
        <f>-'HSSA FGD'!M74</f>
        <v>-5845168</v>
      </c>
      <c r="E74" s="659">
        <f>-'HSSA FGD'!M68</f>
        <v>-131112226</v>
      </c>
      <c r="F74" s="659"/>
    </row>
    <row r="75" spans="1:30">
      <c r="B75" s="676"/>
      <c r="C75" s="74"/>
      <c r="D75" s="676"/>
      <c r="E75" s="676">
        <f>-'HSSA FGD'!M67</f>
        <v>-29457888</v>
      </c>
      <c r="F75" s="659"/>
      <c r="G75" s="351"/>
      <c r="H75" s="351"/>
    </row>
    <row r="76" spans="1:30" ht="12.75" customHeight="1">
      <c r="B76" s="675"/>
      <c r="C76" s="74"/>
      <c r="D76" s="675"/>
      <c r="E76" s="675">
        <f>-D26</f>
        <v>0</v>
      </c>
      <c r="F76" s="659"/>
      <c r="G76" s="351"/>
      <c r="H76" s="351"/>
    </row>
    <row r="77" spans="1:30" ht="12.75" customHeight="1">
      <c r="B77" s="659">
        <f>SUM(B72:B76)</f>
        <v>24363013</v>
      </c>
      <c r="C77" s="74"/>
      <c r="D77" s="659">
        <f>SUM(D72:D76)</f>
        <v>-17427</v>
      </c>
      <c r="E77" s="659">
        <f>SUM(E72:E76)</f>
        <v>55822988</v>
      </c>
      <c r="F77" s="659">
        <f>B77-D77-E77</f>
        <v>-31442548</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24363013</v>
      </c>
      <c r="C80" s="74"/>
      <c r="D80" s="659">
        <f>SUM(D77:D79)</f>
        <v>-17427</v>
      </c>
      <c r="E80" s="659">
        <f>SUM(E77:E79)</f>
        <v>55822988</v>
      </c>
      <c r="F80" s="659">
        <f>SUM(F77:F79)</f>
        <v>-31442548</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85546875" style="166" customWidth="1"/>
    <col min="14" max="14" width="4.85546875" style="166" customWidth="1"/>
    <col min="15" max="15" width="16.285156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'HSSA Chts'!$A$1</f>
        <v>The University of Texas Health Science Center at San Antonio</v>
      </c>
      <c r="C2" s="1273"/>
      <c r="D2" s="1273"/>
      <c r="E2" s="1273"/>
      <c r="F2" s="1273"/>
      <c r="G2" s="1273"/>
      <c r="H2" s="174"/>
      <c r="I2" s="149" t="str">
        <f>IF($B$2&lt;&gt;Input!$H$9,"Name Mismatch","")</f>
        <v/>
      </c>
      <c r="K2" s="174"/>
      <c r="L2" s="174"/>
      <c r="M2" s="175"/>
      <c r="O2" s="737" t="s">
        <v>1123</v>
      </c>
      <c r="P2" s="294"/>
    </row>
    <row r="3" spans="1:28" ht="20.25">
      <c r="A3" s="173">
        <v>2</v>
      </c>
      <c r="B3" s="1273" t="str">
        <f>'Smmy Chts'!$A$2</f>
        <v>For the Year Ended August 31, 2018</v>
      </c>
      <c r="C3" s="1273"/>
      <c r="D3" s="1273"/>
      <c r="E3" s="1273"/>
      <c r="F3" s="1273"/>
      <c r="G3" s="637"/>
      <c r="H3" s="174"/>
      <c r="K3" s="174"/>
      <c r="L3" s="174"/>
      <c r="M3" s="175"/>
      <c r="O3" s="73"/>
    </row>
    <row r="4" spans="1:28" ht="20.25">
      <c r="A4" s="173">
        <v>3</v>
      </c>
      <c r="B4" s="1273" t="str">
        <f>'Smmy Chts'!$A$3</f>
        <v>Source: FY 2018 Annual Financial Report</v>
      </c>
      <c r="C4" s="1273"/>
      <c r="D4" s="1273"/>
      <c r="E4" s="1273"/>
      <c r="F4" s="1273"/>
      <c r="G4" s="637"/>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Input!$M$9</f>
        <v>169212881</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169212881</v>
      </c>
      <c r="O10" s="184"/>
      <c r="P10" s="1308" t="s">
        <v>595</v>
      </c>
      <c r="Q10" s="50"/>
      <c r="R10" s="50"/>
      <c r="S10" s="50"/>
      <c r="T10" s="183"/>
      <c r="U10" s="183"/>
      <c r="V10" s="50"/>
      <c r="W10" s="50"/>
      <c r="X10" s="50"/>
      <c r="Y10" s="50"/>
      <c r="Z10" s="50"/>
      <c r="AA10" s="50"/>
      <c r="AB10" s="50"/>
    </row>
    <row r="11" spans="1:28" s="149" customFormat="1">
      <c r="A11" s="147">
        <v>10</v>
      </c>
      <c r="B11" s="149" t="s">
        <v>2</v>
      </c>
      <c r="D11" s="355">
        <f>Input!$V$9</f>
        <v>2021376</v>
      </c>
      <c r="E11" s="355">
        <f>Input!$W$9</f>
        <v>955352</v>
      </c>
      <c r="F11" s="355">
        <f>Input!$X$9</f>
        <v>0</v>
      </c>
      <c r="G11" s="355">
        <f>Input!$Y$9</f>
        <v>11986918</v>
      </c>
      <c r="H11" s="355">
        <f>Input!$Z$9</f>
        <v>0</v>
      </c>
      <c r="I11" s="355">
        <f>Input!$AA$9</f>
        <v>0</v>
      </c>
      <c r="J11" s="355">
        <f>Input!$AB$9</f>
        <v>0</v>
      </c>
      <c r="K11" s="355">
        <f>Input!$AC$9</f>
        <v>0</v>
      </c>
      <c r="L11" s="355">
        <f>Input!$AD$9</f>
        <v>0</v>
      </c>
      <c r="M11" s="357">
        <f t="shared" si="0"/>
        <v>14963646</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Input!$AN$9</f>
        <v>0</v>
      </c>
      <c r="E13" s="355">
        <f>Input!$AO$9</f>
        <v>0</v>
      </c>
      <c r="F13" s="355">
        <f>Input!$AP$9</f>
        <v>0</v>
      </c>
      <c r="G13" s="355">
        <f>Input!$AQ$9</f>
        <v>0</v>
      </c>
      <c r="H13" s="355">
        <f>Input!$AR$9</f>
        <v>0</v>
      </c>
      <c r="I13" s="355">
        <f>Input!$AS$9</f>
        <v>0</v>
      </c>
      <c r="J13" s="355">
        <f>Input!$AT$9</f>
        <v>0</v>
      </c>
      <c r="K13" s="355">
        <f>Input!$AU$9</f>
        <v>0</v>
      </c>
      <c r="L13" s="355">
        <f>Input!$AV$9</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171234257</v>
      </c>
      <c r="E15" s="356">
        <f t="shared" ref="E15:L15" si="1">SUM(E10:E14)</f>
        <v>955352</v>
      </c>
      <c r="F15" s="356">
        <f t="shared" si="1"/>
        <v>0</v>
      </c>
      <c r="G15" s="356">
        <f t="shared" si="1"/>
        <v>11986918</v>
      </c>
      <c r="H15" s="356">
        <f t="shared" si="1"/>
        <v>0</v>
      </c>
      <c r="I15" s="356">
        <f t="shared" si="1"/>
        <v>0</v>
      </c>
      <c r="J15" s="356">
        <f t="shared" si="1"/>
        <v>0</v>
      </c>
      <c r="K15" s="356">
        <f t="shared" si="1"/>
        <v>0</v>
      </c>
      <c r="L15" s="356">
        <f t="shared" si="1"/>
        <v>0</v>
      </c>
      <c r="M15" s="356">
        <f t="shared" si="0"/>
        <v>184176527</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21331941</v>
      </c>
      <c r="E18" s="356">
        <f t="shared" si="2"/>
        <v>31912567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53244508</v>
      </c>
      <c r="V18" s="342"/>
      <c r="X18" s="326"/>
    </row>
    <row r="19" spans="1:26" s="50" customFormat="1" ht="12.75" customHeight="1" thickTop="1" thickBot="1">
      <c r="A19" s="293"/>
      <c r="B19" s="51" t="s">
        <v>638</v>
      </c>
      <c r="C19" s="51"/>
      <c r="D19" s="355">
        <f>Input!$BF$9</f>
        <v>-5360496</v>
      </c>
      <c r="E19" s="355">
        <f>Input!$BG$9</f>
        <v>0</v>
      </c>
      <c r="F19" s="355">
        <f>Input!$BH$9</f>
        <v>0</v>
      </c>
      <c r="G19" s="355">
        <f>Input!$BI$9</f>
        <v>0</v>
      </c>
      <c r="H19" s="355">
        <f>Input!$BJ$9</f>
        <v>0</v>
      </c>
      <c r="I19" s="355">
        <f>Input!BK6</f>
        <v>0</v>
      </c>
      <c r="J19" s="355">
        <f>Input!$BL$9</f>
        <v>0</v>
      </c>
      <c r="K19" s="355">
        <f>Input!BM6</f>
        <v>0</v>
      </c>
      <c r="L19" s="355">
        <f>Input!BN6</f>
        <v>0</v>
      </c>
      <c r="M19" s="357">
        <f t="shared" si="3"/>
        <v>-5360496</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Input!$BO$9</f>
        <v>0</v>
      </c>
      <c r="E20" s="355">
        <f>Input!$BP$9</f>
        <v>0</v>
      </c>
      <c r="F20" s="355">
        <f>Input!$BQ$9</f>
        <v>0</v>
      </c>
      <c r="G20" s="355">
        <f>Input!$BR$9</f>
        <v>0</v>
      </c>
      <c r="H20" s="355">
        <f>Input!$BS$9</f>
        <v>0</v>
      </c>
      <c r="I20" s="355">
        <f>Input!$BT$9</f>
        <v>0</v>
      </c>
      <c r="J20" s="355">
        <f>Input!BU6</f>
        <v>0</v>
      </c>
      <c r="K20" s="355">
        <f>Input!BV6</f>
        <v>0</v>
      </c>
      <c r="L20" s="355">
        <f>Input!$BW$9</f>
        <v>0</v>
      </c>
      <c r="M20" s="357">
        <f t="shared" si="3"/>
        <v>0</v>
      </c>
      <c r="O20" s="414" t="s">
        <v>215</v>
      </c>
      <c r="P20" s="415"/>
      <c r="Q20" s="416"/>
      <c r="R20" s="416"/>
      <c r="S20" s="537"/>
      <c r="U20" s="538" t="s">
        <v>997</v>
      </c>
      <c r="V20" s="296"/>
      <c r="W20" s="296"/>
      <c r="Y20" s="420"/>
    </row>
    <row r="21" spans="1:26" s="50" customFormat="1">
      <c r="A21" s="293"/>
      <c r="B21" s="51" t="s">
        <v>640</v>
      </c>
      <c r="C21" s="51"/>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430"/>
      <c r="R21" s="347"/>
      <c r="S21" s="539"/>
      <c r="U21" s="621" t="s">
        <v>998</v>
      </c>
      <c r="V21" s="296"/>
      <c r="W21" s="296"/>
      <c r="X21" s="622">
        <f>M44</f>
        <v>45947803</v>
      </c>
      <c r="Y21" s="420"/>
      <c r="Z21" s="326"/>
    </row>
    <row r="22" spans="1:26" s="50" customFormat="1">
      <c r="A22" s="293"/>
      <c r="B22" s="51" t="s">
        <v>641</v>
      </c>
      <c r="C22" s="51"/>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99"/>
      <c r="O22" s="430" t="s">
        <v>999</v>
      </c>
      <c r="P22" s="305"/>
      <c r="Q22" s="419">
        <f>M23</f>
        <v>47884012</v>
      </c>
      <c r="S22" s="540"/>
      <c r="U22" s="621" t="s">
        <v>1000</v>
      </c>
      <c r="V22" s="296"/>
      <c r="W22" s="296"/>
      <c r="X22" s="623">
        <f>R30*-1</f>
        <v>4751425</v>
      </c>
      <c r="Y22" s="420"/>
    </row>
    <row r="23" spans="1:26" s="50" customFormat="1" ht="12.75" customHeight="1">
      <c r="A23" s="293"/>
      <c r="B23" s="536" t="s">
        <v>642</v>
      </c>
      <c r="C23" s="179"/>
      <c r="D23" s="541">
        <f>Input!$CP$9</f>
        <v>15971445</v>
      </c>
      <c r="E23" s="541">
        <f>Input!$CQ$9</f>
        <v>31912567</v>
      </c>
      <c r="F23" s="541">
        <f>Input!$CR$9</f>
        <v>0</v>
      </c>
      <c r="G23" s="541">
        <f>Input!$CS$9</f>
        <v>0</v>
      </c>
      <c r="H23" s="541">
        <f>Input!$CT$9</f>
        <v>0</v>
      </c>
      <c r="I23" s="541">
        <f>Input!$CU$9</f>
        <v>0</v>
      </c>
      <c r="J23" s="541">
        <f>Input!$CV$9</f>
        <v>0</v>
      </c>
      <c r="K23" s="541">
        <f>Input!$CW$9</f>
        <v>0</v>
      </c>
      <c r="L23" s="541">
        <f>Input!$CX$9</f>
        <v>0</v>
      </c>
      <c r="M23" s="542">
        <f t="shared" si="3"/>
        <v>47884012</v>
      </c>
      <c r="O23" s="430"/>
      <c r="P23" s="305"/>
      <c r="Q23" s="419"/>
      <c r="S23" s="540"/>
      <c r="U23" s="538" t="s">
        <v>1185</v>
      </c>
      <c r="V23" s="296"/>
      <c r="W23" s="296"/>
      <c r="X23" s="305"/>
      <c r="Y23" s="420">
        <f>SUM(X21:X22)</f>
        <v>50699228</v>
      </c>
      <c r="Z23" s="326"/>
    </row>
    <row r="24" spans="1:26" s="50" customFormat="1" ht="12.75" customHeight="1">
      <c r="A24" s="293"/>
      <c r="B24" s="51" t="s">
        <v>643</v>
      </c>
      <c r="C24" s="180"/>
      <c r="D24" s="355">
        <f>Input!$CY$9</f>
        <v>0</v>
      </c>
      <c r="E24" s="355">
        <f>Input!$CZ$9</f>
        <v>0</v>
      </c>
      <c r="F24" s="355">
        <f>Input!$DA$9</f>
        <v>0</v>
      </c>
      <c r="G24" s="355">
        <f>Input!$DB$9</f>
        <v>0</v>
      </c>
      <c r="H24" s="355">
        <f>Input!$DC$9</f>
        <v>0</v>
      </c>
      <c r="I24" s="355">
        <f>Input!$DD$9</f>
        <v>0</v>
      </c>
      <c r="J24" s="355">
        <f>Input!$DE$9</f>
        <v>0</v>
      </c>
      <c r="K24" s="355">
        <f>Input!$DF$9</f>
        <v>0</v>
      </c>
      <c r="L24" s="355">
        <f>Input!$DG$9</f>
        <v>0</v>
      </c>
      <c r="M24" s="543">
        <f t="shared" si="3"/>
        <v>0</v>
      </c>
      <c r="O24" s="418" t="s">
        <v>1001</v>
      </c>
      <c r="P24" s="305"/>
      <c r="Q24" s="342"/>
      <c r="R24" s="342">
        <f>SUM(M24:M28)</f>
        <v>-4276283</v>
      </c>
      <c r="S24" s="540"/>
      <c r="U24" s="538"/>
      <c r="V24" s="296"/>
      <c r="W24" s="296"/>
      <c r="Y24" s="420"/>
      <c r="Z24" s="326"/>
    </row>
    <row r="25" spans="1:26" s="50" customFormat="1" ht="12.75" customHeight="1">
      <c r="A25" s="293"/>
      <c r="B25" s="51" t="s">
        <v>644</v>
      </c>
      <c r="C25" s="180"/>
      <c r="D25" s="355">
        <f>Input!$DH$9</f>
        <v>0</v>
      </c>
      <c r="E25" s="355">
        <f>Input!$DI$9</f>
        <v>0</v>
      </c>
      <c r="F25" s="355">
        <f>Input!$DJ$9</f>
        <v>0</v>
      </c>
      <c r="G25" s="355">
        <f>Input!$DK$9</f>
        <v>0</v>
      </c>
      <c r="H25" s="355">
        <f>Input!$DL$9</f>
        <v>0</v>
      </c>
      <c r="I25" s="355">
        <f>Input!$DM$9</f>
        <v>0</v>
      </c>
      <c r="J25" s="355">
        <f>Input!$DN$9</f>
        <v>0</v>
      </c>
      <c r="K25" s="355">
        <f>Input!$DO$9</f>
        <v>0</v>
      </c>
      <c r="L25" s="355">
        <f>Input!$DP$9</f>
        <v>0</v>
      </c>
      <c r="M25" s="543">
        <f t="shared" si="3"/>
        <v>0</v>
      </c>
      <c r="O25" s="430"/>
      <c r="P25" s="305"/>
      <c r="Q25" s="342"/>
      <c r="R25" s="342"/>
      <c r="S25" s="540"/>
      <c r="U25" s="544" t="s">
        <v>1045</v>
      </c>
      <c r="V25" s="545"/>
      <c r="W25" s="545"/>
      <c r="X25" s="624">
        <f>(M26+M39)*-1</f>
        <v>1322244</v>
      </c>
      <c r="Y25" s="420"/>
      <c r="Z25" s="326"/>
    </row>
    <row r="26" spans="1:26" s="50" customFormat="1" ht="12.75" customHeight="1">
      <c r="A26" s="293"/>
      <c r="B26" s="51" t="s">
        <v>645</v>
      </c>
      <c r="C26" s="180"/>
      <c r="D26" s="355">
        <f>Input!$DQ$9</f>
        <v>-1190020</v>
      </c>
      <c r="E26" s="355">
        <f>Input!$DR$9</f>
        <v>0</v>
      </c>
      <c r="F26" s="355">
        <f>Input!$DS$9</f>
        <v>0</v>
      </c>
      <c r="G26" s="355">
        <f>Input!$DT$9</f>
        <v>0</v>
      </c>
      <c r="H26" s="355">
        <f>Input!$DU$9</f>
        <v>0</v>
      </c>
      <c r="I26" s="355">
        <f>Input!$DV$9</f>
        <v>0</v>
      </c>
      <c r="J26" s="355">
        <f>Input!$DW$9</f>
        <v>0</v>
      </c>
      <c r="K26" s="355">
        <f>Input!$DX$9</f>
        <v>0</v>
      </c>
      <c r="L26" s="355">
        <f>Input!$DY$9</f>
        <v>0</v>
      </c>
      <c r="M26" s="543">
        <f t="shared" si="3"/>
        <v>-1190020</v>
      </c>
      <c r="O26" s="430" t="s">
        <v>1002</v>
      </c>
      <c r="P26" s="305"/>
      <c r="Q26" s="422">
        <f>M36</f>
        <v>2815216</v>
      </c>
      <c r="R26" s="423"/>
      <c r="S26" s="546"/>
      <c r="U26" s="538" t="s">
        <v>1046</v>
      </c>
      <c r="V26" s="296"/>
      <c r="W26" s="296"/>
      <c r="X26" s="547">
        <f>(M21+M34)*-1</f>
        <v>0</v>
      </c>
      <c r="Y26" s="420"/>
      <c r="Z26" s="326"/>
    </row>
    <row r="27" spans="1:26" s="50" customFormat="1">
      <c r="A27" s="293"/>
      <c r="B27" s="51" t="s">
        <v>646</v>
      </c>
      <c r="C27" s="180"/>
      <c r="D27" s="355">
        <f>Input!$DZ$9</f>
        <v>0</v>
      </c>
      <c r="E27" s="355">
        <f>Input!$EA$9</f>
        <v>0</v>
      </c>
      <c r="F27" s="355">
        <f>Input!$EB$9</f>
        <v>0</v>
      </c>
      <c r="G27" s="355">
        <f>Input!$EC$9</f>
        <v>0</v>
      </c>
      <c r="H27" s="355">
        <f>Input!$ED$9</f>
        <v>0</v>
      </c>
      <c r="I27" s="355">
        <f>Input!$EE$9</f>
        <v>0</v>
      </c>
      <c r="J27" s="355">
        <f>Input!$EF$9</f>
        <v>0</v>
      </c>
      <c r="K27" s="355">
        <f>Input!$EG$9</f>
        <v>0</v>
      </c>
      <c r="L27" s="355">
        <f>Input!$EH$9</f>
        <v>0</v>
      </c>
      <c r="M27" s="543">
        <f t="shared" si="3"/>
        <v>0</v>
      </c>
      <c r="O27" s="430"/>
      <c r="P27" s="305"/>
      <c r="Q27" s="422"/>
      <c r="R27" s="423"/>
      <c r="S27" s="546"/>
      <c r="U27" s="621" t="s">
        <v>1047</v>
      </c>
      <c r="V27" s="221"/>
      <c r="W27" s="221"/>
      <c r="X27" s="625">
        <f>SUM(X25:X26)</f>
        <v>1322244</v>
      </c>
      <c r="Y27" s="626"/>
    </row>
    <row r="28" spans="1:26" s="50" customFormat="1">
      <c r="A28" s="293"/>
      <c r="B28" s="51" t="s">
        <v>1361</v>
      </c>
      <c r="C28" s="180"/>
      <c r="D28" s="355">
        <f>Input!$EI$9</f>
        <v>-3086263</v>
      </c>
      <c r="E28" s="355">
        <f>Input!$EJ$9</f>
        <v>0</v>
      </c>
      <c r="F28" s="355">
        <f>Input!$EK$9</f>
        <v>0</v>
      </c>
      <c r="G28" s="355">
        <f>Input!$EL$9</f>
        <v>0</v>
      </c>
      <c r="H28" s="355">
        <f>Input!$EM$9</f>
        <v>0</v>
      </c>
      <c r="I28" s="355">
        <f>Input!$EN$9</f>
        <v>0</v>
      </c>
      <c r="J28" s="355">
        <f>Input!$EO$9</f>
        <v>0</v>
      </c>
      <c r="K28" s="355">
        <f>Input!$EP$9</f>
        <v>0</v>
      </c>
      <c r="L28" s="355">
        <f>Input!$EQ$9</f>
        <v>0</v>
      </c>
      <c r="M28" s="543">
        <f t="shared" si="3"/>
        <v>-3086263</v>
      </c>
      <c r="O28" s="418" t="s">
        <v>1003</v>
      </c>
      <c r="Q28" s="425"/>
      <c r="R28" s="342">
        <f>SUM(M37:M41)</f>
        <v>-475142</v>
      </c>
      <c r="S28" s="540"/>
      <c r="U28" s="538" t="s">
        <v>1048</v>
      </c>
      <c r="V28" s="296"/>
      <c r="W28" s="296"/>
      <c r="X28" s="420">
        <f>(M27+M40)*-1</f>
        <v>0</v>
      </c>
      <c r="Y28" s="626"/>
      <c r="Z28" s="326"/>
    </row>
    <row r="29" spans="1:26" s="50" customFormat="1" ht="12" customHeight="1">
      <c r="A29" s="293"/>
      <c r="B29" s="551" t="s">
        <v>37</v>
      </c>
      <c r="C29" s="179"/>
      <c r="D29" s="356">
        <f t="shared" ref="D29:L29" si="4">SUM(D23:D28)</f>
        <v>11695162</v>
      </c>
      <c r="E29" s="356">
        <f t="shared" si="4"/>
        <v>31912567</v>
      </c>
      <c r="F29" s="356">
        <f t="shared" si="4"/>
        <v>0</v>
      </c>
      <c r="G29" s="356">
        <f t="shared" si="4"/>
        <v>0</v>
      </c>
      <c r="H29" s="356">
        <f t="shared" si="4"/>
        <v>0</v>
      </c>
      <c r="I29" s="356">
        <f t="shared" si="4"/>
        <v>0</v>
      </c>
      <c r="J29" s="356">
        <f t="shared" si="4"/>
        <v>0</v>
      </c>
      <c r="K29" s="356">
        <f t="shared" si="4"/>
        <v>0</v>
      </c>
      <c r="L29" s="356">
        <f t="shared" si="4"/>
        <v>0</v>
      </c>
      <c r="M29" s="356">
        <f t="shared" si="3"/>
        <v>43607729</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50699228</v>
      </c>
      <c r="R30" s="429">
        <f>R28+R24</f>
        <v>-4751425</v>
      </c>
      <c r="S30" s="553"/>
      <c r="U30" s="621" t="s">
        <v>1050</v>
      </c>
      <c r="V30" s="221"/>
      <c r="W30" s="221"/>
      <c r="X30" s="625">
        <f>SUM(X28:X29)</f>
        <v>0</v>
      </c>
      <c r="Y30" s="626"/>
    </row>
    <row r="31" spans="1:26" s="50" customFormat="1" ht="12.75" customHeight="1">
      <c r="A31" s="293"/>
      <c r="B31" s="536" t="s">
        <v>1005</v>
      </c>
      <c r="C31" s="536"/>
      <c r="D31" s="356">
        <f t="shared" ref="D31:L31" si="5">D36-SUM(D32:D35)</f>
        <v>0</v>
      </c>
      <c r="E31" s="356">
        <f t="shared" si="5"/>
        <v>0</v>
      </c>
      <c r="F31" s="356">
        <f t="shared" si="5"/>
        <v>2815216</v>
      </c>
      <c r="G31" s="356">
        <f t="shared" si="5"/>
        <v>0</v>
      </c>
      <c r="H31" s="356">
        <f t="shared" si="5"/>
        <v>0</v>
      </c>
      <c r="I31" s="356">
        <f t="shared" si="5"/>
        <v>0</v>
      </c>
      <c r="J31" s="356">
        <f t="shared" si="5"/>
        <v>0</v>
      </c>
      <c r="K31" s="356">
        <f t="shared" si="5"/>
        <v>0</v>
      </c>
      <c r="L31" s="356">
        <f t="shared" si="5"/>
        <v>0</v>
      </c>
      <c r="M31" s="356">
        <f t="shared" ref="M31:M42" si="6">D31+E31+F31+G31+H31+I31+J31+K31+L31</f>
        <v>2815216</v>
      </c>
      <c r="O31" s="430" t="s">
        <v>217</v>
      </c>
      <c r="P31" s="305"/>
      <c r="Q31" s="349"/>
      <c r="R31" s="305"/>
      <c r="S31" s="540"/>
      <c r="U31" s="548" t="s">
        <v>1051</v>
      </c>
      <c r="V31" s="549"/>
      <c r="W31" s="549"/>
      <c r="X31" s="550">
        <f>X27+X30</f>
        <v>1322244</v>
      </c>
      <c r="Y31" s="420"/>
      <c r="Z31" s="326"/>
    </row>
    <row r="32" spans="1:26" s="50" customFormat="1" ht="12.75" customHeight="1">
      <c r="A32" s="293"/>
      <c r="B32" s="51" t="s">
        <v>638</v>
      </c>
      <c r="C32" s="51"/>
      <c r="D32" s="355">
        <f>Input!$ER$9</f>
        <v>0</v>
      </c>
      <c r="E32" s="355">
        <f>Input!$ES$9</f>
        <v>0</v>
      </c>
      <c r="F32" s="355">
        <f>Input!$ET$9</f>
        <v>0</v>
      </c>
      <c r="G32" s="355">
        <f>Input!$EU$9</f>
        <v>0</v>
      </c>
      <c r="H32" s="355">
        <f>Input!$EV$9</f>
        <v>0</v>
      </c>
      <c r="I32" s="355">
        <f>Input!$EW$9</f>
        <v>0</v>
      </c>
      <c r="J32" s="355">
        <f>Input!$EX$9</f>
        <v>0</v>
      </c>
      <c r="K32" s="355">
        <f>Input!$EY$9</f>
        <v>0</v>
      </c>
      <c r="L32" s="355">
        <f>Input!$EZ$9</f>
        <v>0</v>
      </c>
      <c r="M32" s="543">
        <f t="shared" si="6"/>
        <v>0</v>
      </c>
      <c r="O32" s="431" t="s">
        <v>1245</v>
      </c>
      <c r="P32" s="432"/>
      <c r="Q32" s="433">
        <f>Input!$TI$9</f>
        <v>50699228</v>
      </c>
      <c r="R32" s="432"/>
      <c r="S32" s="554"/>
      <c r="U32" s="538"/>
      <c r="V32" s="296"/>
      <c r="W32" s="296"/>
      <c r="Y32" s="420"/>
      <c r="Z32" s="326"/>
    </row>
    <row r="33" spans="1:28" s="50" customFormat="1">
      <c r="A33" s="293"/>
      <c r="B33" s="51" t="s">
        <v>639</v>
      </c>
      <c r="C33" s="51"/>
      <c r="D33" s="355">
        <f>Input!$FA$9</f>
        <v>0</v>
      </c>
      <c r="E33" s="355">
        <f>Input!$FB$9</f>
        <v>0</v>
      </c>
      <c r="F33" s="355">
        <f>Input!$FC$9</f>
        <v>0</v>
      </c>
      <c r="G33" s="355">
        <f>Input!$FD$9</f>
        <v>0</v>
      </c>
      <c r="H33" s="355">
        <f>Input!$FE$9</f>
        <v>0</v>
      </c>
      <c r="I33" s="355">
        <f>Input!$FF$9</f>
        <v>0</v>
      </c>
      <c r="J33" s="355">
        <f>Input!$FG$9</f>
        <v>0</v>
      </c>
      <c r="K33" s="355">
        <f>Input!$FH$9</f>
        <v>0</v>
      </c>
      <c r="L33" s="355">
        <f>Input!$FI$9</f>
        <v>0</v>
      </c>
      <c r="M33" s="543">
        <f t="shared" si="6"/>
        <v>0</v>
      </c>
      <c r="O33" s="431"/>
      <c r="P33" s="432"/>
      <c r="Q33" s="342"/>
      <c r="R33" s="432"/>
      <c r="S33" s="554"/>
      <c r="U33" s="538" t="s">
        <v>1004</v>
      </c>
      <c r="V33" s="296"/>
      <c r="W33" s="296"/>
      <c r="X33" s="347">
        <f>(M19+M32)*-1</f>
        <v>5360496</v>
      </c>
      <c r="Y33" s="420"/>
    </row>
    <row r="34" spans="1:28" s="50" customFormat="1">
      <c r="A34" s="293"/>
      <c r="B34" s="51" t="s">
        <v>640</v>
      </c>
      <c r="C34" s="51"/>
      <c r="D34" s="355">
        <f>Input!$FJ$9</f>
        <v>0</v>
      </c>
      <c r="E34" s="355">
        <f>Input!$FK$9</f>
        <v>0</v>
      </c>
      <c r="F34" s="355">
        <f>Input!$FL$9</f>
        <v>0</v>
      </c>
      <c r="G34" s="355">
        <f>Input!$FM$9</f>
        <v>0</v>
      </c>
      <c r="H34" s="355">
        <f>Input!$FN$9</f>
        <v>0</v>
      </c>
      <c r="I34" s="355">
        <f>Input!$FO$9</f>
        <v>0</v>
      </c>
      <c r="J34" s="355">
        <f>Input!$FP$9</f>
        <v>0</v>
      </c>
      <c r="K34" s="355">
        <f>Input!$FQ$9</f>
        <v>0</v>
      </c>
      <c r="L34" s="355">
        <f>Input!$FR$9</f>
        <v>0</v>
      </c>
      <c r="M34" s="543">
        <f t="shared" si="6"/>
        <v>0</v>
      </c>
      <c r="O34" s="434" t="s">
        <v>1246</v>
      </c>
      <c r="P34" s="435"/>
      <c r="Q34" s="50" t="s">
        <v>218</v>
      </c>
      <c r="R34" s="433">
        <f>Input!$TJ$9</f>
        <v>-4751425</v>
      </c>
      <c r="S34" s="555"/>
      <c r="U34" s="538" t="s">
        <v>1052</v>
      </c>
      <c r="V34" s="296"/>
      <c r="W34" s="296"/>
      <c r="X34" s="426">
        <f>(M24+M37)*-1</f>
        <v>0</v>
      </c>
      <c r="Y34" s="420"/>
    </row>
    <row r="35" spans="1:28" s="50" customFormat="1" ht="13.5" thickBot="1">
      <c r="A35" s="293"/>
      <c r="B35" s="51" t="s">
        <v>641</v>
      </c>
      <c r="C35" s="51"/>
      <c r="D35" s="355">
        <f>Input!$FS$9</f>
        <v>0</v>
      </c>
      <c r="E35" s="355">
        <f>Input!$FT$9</f>
        <v>0</v>
      </c>
      <c r="F35" s="355">
        <f>Input!$FU$9</f>
        <v>0</v>
      </c>
      <c r="G35" s="355">
        <f>Input!$FV$9</f>
        <v>0</v>
      </c>
      <c r="H35" s="355">
        <f>Input!$FW$9</f>
        <v>0</v>
      </c>
      <c r="I35" s="355">
        <f>Input!$FX$9</f>
        <v>0</v>
      </c>
      <c r="J35" s="355">
        <f>Input!$FY$9</f>
        <v>0</v>
      </c>
      <c r="K35" s="355">
        <f>Input!$FZ$9</f>
        <v>0</v>
      </c>
      <c r="L35" s="355">
        <f>Input!$GA$9</f>
        <v>0</v>
      </c>
      <c r="M35" s="543">
        <f t="shared" si="6"/>
        <v>0</v>
      </c>
      <c r="O35" s="436" t="s">
        <v>219</v>
      </c>
      <c r="P35" s="437"/>
      <c r="Q35" s="438">
        <f>Q30-Q32</f>
        <v>0</v>
      </c>
      <c r="R35" s="439">
        <f>R30-R34</f>
        <v>0</v>
      </c>
      <c r="S35" s="556"/>
      <c r="U35" s="621" t="s">
        <v>1053</v>
      </c>
      <c r="V35" s="221"/>
      <c r="W35" s="221"/>
      <c r="X35" s="627">
        <f>SUM(X33:X34)</f>
        <v>5360496</v>
      </c>
      <c r="Y35" s="626"/>
    </row>
    <row r="36" spans="1:28" s="50" customFormat="1" ht="13.5" thickTop="1">
      <c r="A36" s="293"/>
      <c r="B36" s="536" t="s">
        <v>648</v>
      </c>
      <c r="C36" s="179"/>
      <c r="D36" s="541">
        <f>Input!$GB$9</f>
        <v>0</v>
      </c>
      <c r="E36" s="541">
        <f>Input!$GC$9</f>
        <v>0</v>
      </c>
      <c r="F36" s="541">
        <f>Input!$GD$9</f>
        <v>2815216</v>
      </c>
      <c r="G36" s="541">
        <f>Input!$GE$9</f>
        <v>0</v>
      </c>
      <c r="H36" s="541">
        <f>Input!$GF$9</f>
        <v>0</v>
      </c>
      <c r="I36" s="541">
        <f>Input!$GG$9</f>
        <v>0</v>
      </c>
      <c r="J36" s="541">
        <f>Input!$GH$9</f>
        <v>0</v>
      </c>
      <c r="K36" s="541">
        <f>Input!$GI$9</f>
        <v>0</v>
      </c>
      <c r="L36" s="541">
        <f>Input!$GJ$9</f>
        <v>0</v>
      </c>
      <c r="M36" s="542">
        <f t="shared" si="6"/>
        <v>2815216</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Input!$GK$9</f>
        <v>0</v>
      </c>
      <c r="E37" s="355">
        <f>Input!$GL$9</f>
        <v>0</v>
      </c>
      <c r="F37" s="355">
        <f>Input!$GM$9</f>
        <v>0</v>
      </c>
      <c r="G37" s="355">
        <f>Input!$GN$9</f>
        <v>0</v>
      </c>
      <c r="H37" s="355">
        <f>Input!$GO$9</f>
        <v>0</v>
      </c>
      <c r="I37" s="355">
        <f>Input!$GP$9</f>
        <v>0</v>
      </c>
      <c r="J37" s="355">
        <f>Input!$GQ$9</f>
        <v>0</v>
      </c>
      <c r="K37" s="355">
        <f>Input!$GR$9</f>
        <v>0</v>
      </c>
      <c r="L37" s="355">
        <f>Input!$GS$9</f>
        <v>0</v>
      </c>
      <c r="M37" s="543">
        <f t="shared" si="6"/>
        <v>0</v>
      </c>
      <c r="O37" s="51"/>
      <c r="U37" s="538" t="s">
        <v>1054</v>
      </c>
      <c r="V37" s="296"/>
      <c r="W37" s="296"/>
      <c r="X37" s="426">
        <f>(M25+M38)*-1</f>
        <v>0</v>
      </c>
      <c r="Y37" s="626"/>
    </row>
    <row r="38" spans="1:28" s="50" customFormat="1">
      <c r="A38" s="293"/>
      <c r="B38" s="51" t="s">
        <v>644</v>
      </c>
      <c r="C38" s="180"/>
      <c r="D38" s="355">
        <f>Input!$GT$9</f>
        <v>0</v>
      </c>
      <c r="E38" s="355">
        <f>Input!$GU$9</f>
        <v>0</v>
      </c>
      <c r="F38" s="355">
        <f>Input!$GV$9</f>
        <v>0</v>
      </c>
      <c r="G38" s="355">
        <f>Input!$GW$9</f>
        <v>0</v>
      </c>
      <c r="H38" s="355">
        <f>Input!$GX$9</f>
        <v>0</v>
      </c>
      <c r="I38" s="355">
        <f>Input!$GY$9</f>
        <v>0</v>
      </c>
      <c r="J38" s="355">
        <f>Input!$GZ$9</f>
        <v>0</v>
      </c>
      <c r="K38" s="355">
        <f>Input!$HA$9</f>
        <v>0</v>
      </c>
      <c r="L38" s="355">
        <f>Input!$HB$9</f>
        <v>0</v>
      </c>
      <c r="M38" s="543">
        <f t="shared" si="6"/>
        <v>0</v>
      </c>
      <c r="O38" s="51"/>
      <c r="U38" s="621" t="s">
        <v>1055</v>
      </c>
      <c r="V38" s="221"/>
      <c r="W38" s="221"/>
      <c r="X38" s="627">
        <f>SUM(X36:X37)</f>
        <v>0</v>
      </c>
      <c r="Y38" s="420"/>
    </row>
    <row r="39" spans="1:28" s="50" customFormat="1">
      <c r="A39" s="293"/>
      <c r="B39" s="51" t="s">
        <v>645</v>
      </c>
      <c r="C39" s="180"/>
      <c r="D39" s="355">
        <f>Input!$HC$9</f>
        <v>-132224</v>
      </c>
      <c r="E39" s="355">
        <f>Input!$HD$9</f>
        <v>0</v>
      </c>
      <c r="F39" s="355">
        <f>Input!$HE$9</f>
        <v>0</v>
      </c>
      <c r="G39" s="355">
        <f>Input!$HF$9</f>
        <v>0</v>
      </c>
      <c r="H39" s="355">
        <f>Input!$HG$9</f>
        <v>0</v>
      </c>
      <c r="I39" s="355">
        <f>Input!$HH$9</f>
        <v>0</v>
      </c>
      <c r="J39" s="355">
        <f>Input!$HI$9</f>
        <v>0</v>
      </c>
      <c r="K39" s="355">
        <f>Input!$HJ$9</f>
        <v>0</v>
      </c>
      <c r="L39" s="355">
        <f>Input!$HK$9</f>
        <v>0</v>
      </c>
      <c r="M39" s="543">
        <f t="shared" si="6"/>
        <v>-132224</v>
      </c>
      <c r="O39" s="51"/>
      <c r="U39" s="538" t="s">
        <v>1007</v>
      </c>
      <c r="V39" s="296"/>
      <c r="W39" s="296"/>
      <c r="X39" s="347"/>
      <c r="Y39" s="420">
        <f>X38+X35</f>
        <v>5360496</v>
      </c>
    </row>
    <row r="40" spans="1:28" s="50" customFormat="1">
      <c r="A40" s="293"/>
      <c r="B40" s="51" t="s">
        <v>646</v>
      </c>
      <c r="C40" s="180"/>
      <c r="D40" s="355">
        <f>Input!$HL$9</f>
        <v>0</v>
      </c>
      <c r="E40" s="355">
        <f>Input!$HM$9</f>
        <v>0</v>
      </c>
      <c r="F40" s="355">
        <f>Input!$HN$9</f>
        <v>0</v>
      </c>
      <c r="G40" s="355">
        <f>Input!$HO$9</f>
        <v>0</v>
      </c>
      <c r="H40" s="355">
        <f>Input!$HP$9</f>
        <v>0</v>
      </c>
      <c r="I40" s="355">
        <f>Input!$HQ$9</f>
        <v>0</v>
      </c>
      <c r="J40" s="355">
        <f>Input!$HR$9</f>
        <v>0</v>
      </c>
      <c r="K40" s="355">
        <f>Input!$HS$9</f>
        <v>0</v>
      </c>
      <c r="L40" s="355">
        <f>Input!$HT$9</f>
        <v>0</v>
      </c>
      <c r="M40" s="543">
        <f t="shared" si="6"/>
        <v>0</v>
      </c>
      <c r="O40" s="51"/>
      <c r="U40" s="538"/>
      <c r="V40" s="51"/>
      <c r="W40" s="51"/>
      <c r="X40" s="51"/>
      <c r="Y40" s="626"/>
    </row>
    <row r="41" spans="1:28" s="50" customFormat="1">
      <c r="A41" s="293"/>
      <c r="B41" s="51" t="s">
        <v>1361</v>
      </c>
      <c r="C41" s="180"/>
      <c r="D41" s="355">
        <f>Input!$HU$9</f>
        <v>-342918</v>
      </c>
      <c r="E41" s="355">
        <f>Input!$HV$9</f>
        <v>0</v>
      </c>
      <c r="F41" s="355">
        <f>Input!$HW$9</f>
        <v>0</v>
      </c>
      <c r="G41" s="355">
        <f>Input!$HX$9</f>
        <v>0</v>
      </c>
      <c r="H41" s="355">
        <f>Input!$HY$9</f>
        <v>0</v>
      </c>
      <c r="I41" s="355">
        <f>Input!$HZ$9</f>
        <v>0</v>
      </c>
      <c r="J41" s="355">
        <f>Input!$IA$9</f>
        <v>0</v>
      </c>
      <c r="K41" s="355">
        <f>Input!$IB$9</f>
        <v>0</v>
      </c>
      <c r="L41" s="355">
        <f>Input!$IC$9</f>
        <v>0</v>
      </c>
      <c r="M41" s="543">
        <f t="shared" si="6"/>
        <v>-342918</v>
      </c>
      <c r="O41"/>
      <c r="P41"/>
      <c r="Q41"/>
      <c r="R41"/>
      <c r="S41"/>
      <c r="U41" s="538" t="s">
        <v>1046</v>
      </c>
      <c r="V41" s="296"/>
      <c r="W41" s="296"/>
      <c r="X41" s="326">
        <f>(M21+M34)*-1</f>
        <v>0</v>
      </c>
      <c r="Y41" s="420"/>
    </row>
    <row r="42" spans="1:28" s="50" customFormat="1">
      <c r="A42" s="293"/>
      <c r="B42" s="551" t="s">
        <v>38</v>
      </c>
      <c r="C42" s="179"/>
      <c r="D42" s="356">
        <f t="shared" ref="D42:L42" si="7">SUM(D36:D41)</f>
        <v>-475142</v>
      </c>
      <c r="E42" s="356">
        <f t="shared" si="7"/>
        <v>0</v>
      </c>
      <c r="F42" s="356">
        <f t="shared" si="7"/>
        <v>2815216</v>
      </c>
      <c r="G42" s="356">
        <f t="shared" si="7"/>
        <v>0</v>
      </c>
      <c r="H42" s="356">
        <f t="shared" si="7"/>
        <v>0</v>
      </c>
      <c r="I42" s="356">
        <f t="shared" si="7"/>
        <v>0</v>
      </c>
      <c r="J42" s="356">
        <f t="shared" si="7"/>
        <v>0</v>
      </c>
      <c r="K42" s="356">
        <f t="shared" si="7"/>
        <v>0</v>
      </c>
      <c r="L42" s="356">
        <f t="shared" si="7"/>
        <v>0</v>
      </c>
      <c r="M42" s="356">
        <f t="shared" si="6"/>
        <v>2340074</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11220020</v>
      </c>
      <c r="E44" s="356">
        <f t="shared" si="8"/>
        <v>31912567</v>
      </c>
      <c r="F44" s="356">
        <f t="shared" si="8"/>
        <v>2815216</v>
      </c>
      <c r="G44" s="356">
        <f t="shared" si="8"/>
        <v>0</v>
      </c>
      <c r="H44" s="356">
        <f t="shared" si="8"/>
        <v>0</v>
      </c>
      <c r="I44" s="356">
        <f t="shared" si="8"/>
        <v>0</v>
      </c>
      <c r="J44" s="356">
        <f t="shared" si="8"/>
        <v>0</v>
      </c>
      <c r="K44" s="356">
        <f t="shared" si="8"/>
        <v>0</v>
      </c>
      <c r="L44" s="356">
        <f t="shared" si="8"/>
        <v>0</v>
      </c>
      <c r="M44" s="356">
        <f>D44+E44+F44+G44+H44+I44+J44+K44+L44</f>
        <v>45947803</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Input!$ID$9</f>
        <v>0</v>
      </c>
      <c r="E47" s="358">
        <f>Input!$IE$9</f>
        <v>23784508</v>
      </c>
      <c r="F47" s="358">
        <f>Input!$IF$9</f>
        <v>0</v>
      </c>
      <c r="G47" s="358">
        <f>Input!$IG$9</f>
        <v>79918983</v>
      </c>
      <c r="H47" s="358">
        <f>Input!$IH$9</f>
        <v>0</v>
      </c>
      <c r="I47" s="358">
        <f>Input!$II$9</f>
        <v>0</v>
      </c>
      <c r="J47" s="358">
        <f>Input!$IJ$9</f>
        <v>0</v>
      </c>
      <c r="K47" s="358">
        <f>Input!$IK$9</f>
        <v>0</v>
      </c>
      <c r="L47" s="358">
        <f>Input!$IL$9</f>
        <v>0</v>
      </c>
      <c r="M47" s="356">
        <f>D47+E47+F47+G47+H47+I47+J47+K47+L47</f>
        <v>103703491</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56059724</v>
      </c>
      <c r="Z49" s="50"/>
      <c r="AA49" s="50"/>
      <c r="AB49" s="50"/>
    </row>
    <row r="50" spans="1:28" s="149" customFormat="1">
      <c r="A50" s="147">
        <v>33</v>
      </c>
      <c r="B50" s="158" t="s">
        <v>56</v>
      </c>
      <c r="C50" s="158"/>
      <c r="D50" s="358">
        <f>Input!$IM$9</f>
        <v>0</v>
      </c>
      <c r="E50" s="358">
        <f>Input!$IN$9</f>
        <v>216393102</v>
      </c>
      <c r="F50" s="358">
        <f>Input!$IO$9</f>
        <v>0</v>
      </c>
      <c r="G50" s="358">
        <f>Input!$IP$9</f>
        <v>0</v>
      </c>
      <c r="H50" s="358">
        <f>Input!$IQ$9</f>
        <v>0</v>
      </c>
      <c r="I50" s="358">
        <f>Input!$IR$9</f>
        <v>0</v>
      </c>
      <c r="J50" s="358">
        <f>Input!$IS$9</f>
        <v>0</v>
      </c>
      <c r="K50" s="358">
        <f>Input!$IT$9</f>
        <v>0</v>
      </c>
      <c r="L50" s="358">
        <f>Input!$IU$9</f>
        <v>0</v>
      </c>
      <c r="M50" s="356">
        <f>D50+E50+F50+G50+H50+I50+J50+K50+L50</f>
        <v>216393102</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Input!$IV$9</f>
        <v>0</v>
      </c>
      <c r="E53" s="358">
        <f>Input!$IW$9</f>
        <v>0</v>
      </c>
      <c r="F53" s="358">
        <f>Input!$IX$9</f>
        <v>0</v>
      </c>
      <c r="G53" s="358">
        <f>Input!$IY$9</f>
        <v>0</v>
      </c>
      <c r="H53" s="358">
        <f>Input!$IZ$9</f>
        <v>0</v>
      </c>
      <c r="I53" s="358">
        <f>Input!$JA$9</f>
        <v>0</v>
      </c>
      <c r="J53" s="358">
        <f>Input!$JB$9</f>
        <v>0</v>
      </c>
      <c r="K53" s="358">
        <f>Input!$JC$9</f>
        <v>0</v>
      </c>
      <c r="L53" s="358">
        <f>Input!$JD$9</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Input!$JE$9</f>
        <v>158853</v>
      </c>
      <c r="E56" s="355">
        <f>Input!$JF$9</f>
        <v>31484885</v>
      </c>
      <c r="F56" s="355">
        <f>Input!$JG$9</f>
        <v>0</v>
      </c>
      <c r="G56" s="355">
        <f>Input!$JH$9</f>
        <v>12852709</v>
      </c>
      <c r="H56" s="355">
        <f>Input!$JI$9</f>
        <v>38832</v>
      </c>
      <c r="I56" s="355">
        <f>Input!$JJ$9</f>
        <v>104936</v>
      </c>
      <c r="J56" s="355">
        <f>Input!$JK$9</f>
        <v>0</v>
      </c>
      <c r="K56" s="355">
        <f>Input!$JL$9</f>
        <v>0</v>
      </c>
      <c r="L56" s="355">
        <f>Input!$JM$9</f>
        <v>0</v>
      </c>
      <c r="M56" s="357">
        <f t="shared" ref="M56:M62" si="9">D56+E56+F56+G56+H56+I56+J56+K56+L56</f>
        <v>44640215</v>
      </c>
      <c r="O56" s="51"/>
      <c r="P56" s="50"/>
      <c r="Q56" s="50"/>
      <c r="R56" s="50"/>
      <c r="S56" s="50"/>
      <c r="T56" s="50"/>
      <c r="U56" s="50"/>
      <c r="V56" s="50"/>
      <c r="W56" s="50"/>
      <c r="X56" s="306"/>
      <c r="Y56" s="50"/>
      <c r="Z56" s="50"/>
      <c r="AA56" s="50"/>
      <c r="AB56" s="50"/>
    </row>
    <row r="57" spans="1:28" s="149" customFormat="1">
      <c r="A57" s="147">
        <v>40</v>
      </c>
      <c r="B57" s="149" t="s">
        <v>9</v>
      </c>
      <c r="D57" s="355">
        <f>Input!$JN$9</f>
        <v>0</v>
      </c>
      <c r="E57" s="355">
        <f>Input!$JO$9</f>
        <v>164085244</v>
      </c>
      <c r="F57" s="355">
        <f>Input!$JP$9</f>
        <v>0</v>
      </c>
      <c r="G57" s="355">
        <f>Input!$JQ$9</f>
        <v>2311741</v>
      </c>
      <c r="H57" s="355">
        <f>Input!$JR$9</f>
        <v>0</v>
      </c>
      <c r="I57" s="355">
        <f>Input!$JS$9</f>
        <v>0</v>
      </c>
      <c r="J57" s="355">
        <f>Input!$JT$9</f>
        <v>0</v>
      </c>
      <c r="K57" s="355">
        <f>Input!$JU$9</f>
        <v>0</v>
      </c>
      <c r="L57" s="355">
        <f>Input!$JV$9</f>
        <v>0</v>
      </c>
      <c r="M57" s="357">
        <f t="shared" si="9"/>
        <v>166396985</v>
      </c>
      <c r="O57" s="50"/>
      <c r="P57" s="307"/>
      <c r="Q57" s="50"/>
      <c r="R57" s="50"/>
      <c r="S57" s="50"/>
      <c r="T57" s="50"/>
      <c r="U57" s="50"/>
      <c r="V57" s="50"/>
      <c r="W57" s="50"/>
      <c r="X57" s="50"/>
      <c r="Y57" s="50"/>
      <c r="Z57" s="50"/>
      <c r="AA57" s="50"/>
      <c r="AB57" s="50"/>
    </row>
    <row r="58" spans="1:28" s="149" customFormat="1">
      <c r="A58" s="147">
        <v>41</v>
      </c>
      <c r="B58" s="149" t="s">
        <v>10</v>
      </c>
      <c r="D58" s="355">
        <f>Input!$JW$9</f>
        <v>0</v>
      </c>
      <c r="E58" s="355">
        <f>Input!$JX$9</f>
        <v>4969630</v>
      </c>
      <c r="F58" s="355">
        <f>Input!$JY$9</f>
        <v>0</v>
      </c>
      <c r="G58" s="355">
        <f>Input!$JZ$9</f>
        <v>34216170</v>
      </c>
      <c r="H58" s="355">
        <f>Input!$KA$9</f>
        <v>0</v>
      </c>
      <c r="I58" s="355">
        <f>Input!$KB$9</f>
        <v>0</v>
      </c>
      <c r="J58" s="355">
        <f>Input!$KC$9</f>
        <v>500000</v>
      </c>
      <c r="K58" s="355">
        <f>Input!$KD$9</f>
        <v>0</v>
      </c>
      <c r="L58" s="355">
        <f>Input!$KE$9</f>
        <v>0</v>
      </c>
      <c r="M58" s="357">
        <f t="shared" si="9"/>
        <v>39685800</v>
      </c>
      <c r="O58" s="302"/>
      <c r="P58" s="50"/>
      <c r="Q58" s="50"/>
      <c r="R58" s="50"/>
      <c r="S58" s="50"/>
      <c r="T58" s="50"/>
      <c r="U58" s="50"/>
      <c r="V58" s="50"/>
      <c r="W58" s="50"/>
      <c r="X58" s="50"/>
      <c r="Y58" s="50"/>
      <c r="Z58" s="50"/>
      <c r="AA58" s="50"/>
      <c r="AB58" s="50"/>
    </row>
    <row r="59" spans="1:28" s="149" customFormat="1" ht="13.5" thickBot="1">
      <c r="A59" s="147">
        <v>42</v>
      </c>
      <c r="B59" s="149" t="s">
        <v>54</v>
      </c>
      <c r="D59" s="355">
        <f>Input!$KF$9</f>
        <v>5673926</v>
      </c>
      <c r="E59" s="355">
        <f>Input!$KG$9</f>
        <v>13654795</v>
      </c>
      <c r="F59" s="355">
        <f>Input!$KH$9</f>
        <v>0</v>
      </c>
      <c r="G59" s="355">
        <f>Input!$KI$9</f>
        <v>11113440</v>
      </c>
      <c r="H59" s="355">
        <f>Input!$KJ$9</f>
        <v>0</v>
      </c>
      <c r="I59" s="355">
        <f>Input!$KK$9</f>
        <v>0</v>
      </c>
      <c r="J59" s="355">
        <f>Input!$KL$9</f>
        <v>0</v>
      </c>
      <c r="K59" s="355">
        <f>Input!$KM$9</f>
        <v>0</v>
      </c>
      <c r="L59" s="355">
        <f>Input!$KN$9</f>
        <v>0</v>
      </c>
      <c r="M59" s="357">
        <f t="shared" si="9"/>
        <v>30442161</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Input!$KO$9</f>
        <v>0</v>
      </c>
      <c r="E60" s="355">
        <f>Input!$KP$9</f>
        <v>0</v>
      </c>
      <c r="F60" s="355">
        <f>Input!$KQ$9</f>
        <v>5480027</v>
      </c>
      <c r="G60" s="355">
        <f>Input!$KR$9</f>
        <v>0</v>
      </c>
      <c r="H60" s="355">
        <f>Input!$KS$9</f>
        <v>0</v>
      </c>
      <c r="I60" s="355">
        <f>Input!$KT$9</f>
        <v>0</v>
      </c>
      <c r="J60" s="355">
        <f>Input!$KU$9</f>
        <v>0</v>
      </c>
      <c r="K60" s="355">
        <f>Input!$KV$9</f>
        <v>0</v>
      </c>
      <c r="L60" s="355">
        <f>Input!$KW$9</f>
        <v>0</v>
      </c>
      <c r="M60" s="357">
        <f t="shared" si="9"/>
        <v>5480027</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Input!$KX$9</f>
        <v>133136</v>
      </c>
      <c r="E61" s="355">
        <f>Input!$KY$9</f>
        <v>32195314</v>
      </c>
      <c r="F61" s="355">
        <f>Input!$KZ$9</f>
        <v>0</v>
      </c>
      <c r="G61" s="355">
        <f>Input!$LA$9</f>
        <v>2019167</v>
      </c>
      <c r="H61" s="355">
        <f>Input!$LB$9</f>
        <v>111946</v>
      </c>
      <c r="I61" s="355">
        <f>Input!$LC$9</f>
        <v>0</v>
      </c>
      <c r="J61" s="355">
        <f>Input!$LD$9</f>
        <v>0</v>
      </c>
      <c r="K61" s="355">
        <f>Input!$LE$9</f>
        <v>0</v>
      </c>
      <c r="L61" s="355">
        <f>Input!$LF$9</f>
        <v>-456858</v>
      </c>
      <c r="M61" s="357">
        <f t="shared" si="9"/>
        <v>34002705</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5965915</v>
      </c>
      <c r="E62" s="356">
        <f t="shared" si="10"/>
        <v>246389868</v>
      </c>
      <c r="F62" s="356">
        <f t="shared" si="10"/>
        <v>5480027</v>
      </c>
      <c r="G62" s="356">
        <f t="shared" si="10"/>
        <v>62513227</v>
      </c>
      <c r="H62" s="356">
        <f t="shared" si="10"/>
        <v>150778</v>
      </c>
      <c r="I62" s="356">
        <f t="shared" si="10"/>
        <v>104936</v>
      </c>
      <c r="J62" s="356">
        <f t="shared" si="10"/>
        <v>500000</v>
      </c>
      <c r="K62" s="356">
        <f t="shared" si="10"/>
        <v>0</v>
      </c>
      <c r="L62" s="356">
        <f t="shared" si="10"/>
        <v>-456858</v>
      </c>
      <c r="M62" s="356">
        <f t="shared" si="9"/>
        <v>320647893</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188420192</v>
      </c>
      <c r="E63" s="356">
        <f t="shared" ref="E63:M63" si="11">E15+E44+E47+E50+E53+E62</f>
        <v>519435397</v>
      </c>
      <c r="F63" s="356">
        <f t="shared" si="11"/>
        <v>8295243</v>
      </c>
      <c r="G63" s="356">
        <f t="shared" si="11"/>
        <v>154419128</v>
      </c>
      <c r="H63" s="356">
        <f t="shared" si="11"/>
        <v>150778</v>
      </c>
      <c r="I63" s="356">
        <f t="shared" si="11"/>
        <v>104936</v>
      </c>
      <c r="J63" s="356">
        <f t="shared" si="11"/>
        <v>500000</v>
      </c>
      <c r="K63" s="356">
        <f t="shared" si="11"/>
        <v>0</v>
      </c>
      <c r="L63" s="356">
        <f t="shared" si="11"/>
        <v>-456858</v>
      </c>
      <c r="M63" s="356">
        <f t="shared" si="11"/>
        <v>870868816</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Input!$LG$9</f>
        <v>99976330</v>
      </c>
      <c r="E65" s="355">
        <f>Input!$LH$9</f>
        <v>264327783</v>
      </c>
      <c r="F65" s="355">
        <f>Input!$LI$9</f>
        <v>0</v>
      </c>
      <c r="G65" s="355">
        <f>Input!$LJ$9</f>
        <v>16665064</v>
      </c>
      <c r="H65" s="355">
        <f>Input!$LK$9</f>
        <v>0</v>
      </c>
      <c r="I65" s="355">
        <f>Input!$LL$9</f>
        <v>0</v>
      </c>
      <c r="J65" s="355">
        <f>Input!$LM$9</f>
        <v>0</v>
      </c>
      <c r="K65" s="355">
        <f>Input!$LN$9</f>
        <v>0</v>
      </c>
      <c r="L65" s="355">
        <f>Input!$LO$9</f>
        <v>0</v>
      </c>
      <c r="M65" s="357">
        <f t="shared" ref="M65:M77" si="12">D65+E65+F65+G65+H65+I65+J65+K65+L65</f>
        <v>380969177</v>
      </c>
      <c r="O65" s="310">
        <f>D65+E65+G65</f>
        <v>380969177</v>
      </c>
      <c r="P65" s="311">
        <f>Input!$TK$9</f>
        <v>4625399</v>
      </c>
      <c r="Q65" s="311">
        <f>Input!$TU$9</f>
        <v>0</v>
      </c>
      <c r="R65" s="311">
        <f>Input!$UD$9</f>
        <v>0</v>
      </c>
      <c r="S65" s="312">
        <f>O65+P65-Q65-R65</f>
        <v>385594576</v>
      </c>
      <c r="T65" s="313"/>
      <c r="U65" s="494">
        <f>D65+E65+F65+G65+J65</f>
        <v>380969177</v>
      </c>
      <c r="V65" s="313"/>
      <c r="W65" s="314" t="s">
        <v>14</v>
      </c>
      <c r="X65" s="487">
        <f>Input!$UO$9</f>
        <v>380969177</v>
      </c>
      <c r="Y65" s="315">
        <f t="shared" ref="Y65:Y74" si="13">X65-M65</f>
        <v>0</v>
      </c>
      <c r="Z65" s="313"/>
      <c r="AA65" s="313"/>
      <c r="AB65" s="313"/>
    </row>
    <row r="66" spans="1:28" s="149" customFormat="1" ht="14.25" thickTop="1" thickBot="1">
      <c r="A66" s="147">
        <v>49</v>
      </c>
      <c r="B66" s="161" t="s">
        <v>15</v>
      </c>
      <c r="C66" s="161"/>
      <c r="D66" s="355">
        <f>Input!$LP$9</f>
        <v>12536869</v>
      </c>
      <c r="E66" s="355">
        <f>Input!$LQ$9</f>
        <v>16340469</v>
      </c>
      <c r="F66" s="355">
        <f>Input!$LR$9</f>
        <v>0</v>
      </c>
      <c r="G66" s="355">
        <f>Input!$LS$9</f>
        <v>97684139</v>
      </c>
      <c r="H66" s="355">
        <f>Input!$LT$9</f>
        <v>0</v>
      </c>
      <c r="I66" s="355">
        <f>Input!$LU$9</f>
        <v>0</v>
      </c>
      <c r="J66" s="355">
        <f>Input!$LV$9</f>
        <v>0</v>
      </c>
      <c r="K66" s="355">
        <f>Input!$LW$9</f>
        <v>0</v>
      </c>
      <c r="L66" s="355">
        <f>Input!$LX$9</f>
        <v>0</v>
      </c>
      <c r="M66" s="357">
        <f t="shared" si="12"/>
        <v>126561477</v>
      </c>
      <c r="O66" s="316">
        <f t="shared" ref="O66:O72" si="14">D66+E66+G66</f>
        <v>126561477</v>
      </c>
      <c r="P66" s="317">
        <f>Input!$TL$9</f>
        <v>10776812</v>
      </c>
      <c r="Q66" s="317">
        <f>Input!$TV$9</f>
        <v>1471056</v>
      </c>
      <c r="R66" s="317">
        <f>Input!$UE$9</f>
        <v>0</v>
      </c>
      <c r="S66" s="318">
        <f>O66+P66-Q66-R66</f>
        <v>135867233</v>
      </c>
      <c r="T66" s="313"/>
      <c r="U66" s="495">
        <f t="shared" ref="U66:U76" si="15">D66+E66+F66+G66+J66</f>
        <v>126561477</v>
      </c>
      <c r="V66" s="313"/>
      <c r="W66" s="314" t="s">
        <v>15</v>
      </c>
      <c r="X66" s="363">
        <f>Input!$UP$9</f>
        <v>126561477</v>
      </c>
      <c r="Y66" s="319">
        <f t="shared" si="13"/>
        <v>0</v>
      </c>
      <c r="Z66" s="320"/>
      <c r="AA66" s="320"/>
      <c r="AB66" s="320"/>
    </row>
    <row r="67" spans="1:28" s="149" customFormat="1" ht="13.5" thickTop="1">
      <c r="A67" s="147">
        <v>50</v>
      </c>
      <c r="B67" s="161" t="s">
        <v>16</v>
      </c>
      <c r="C67" s="161"/>
      <c r="D67" s="355">
        <f>Input!$LY$9</f>
        <v>0</v>
      </c>
      <c r="E67" s="355">
        <f>Input!$LZ$9</f>
        <v>4535169</v>
      </c>
      <c r="F67" s="355">
        <f>Input!$MA$9</f>
        <v>0</v>
      </c>
      <c r="G67" s="355">
        <f>Input!$MB$9</f>
        <v>24922719</v>
      </c>
      <c r="H67" s="355">
        <f>Input!$MC$9</f>
        <v>0</v>
      </c>
      <c r="I67" s="355">
        <f>Input!$MD$9</f>
        <v>0</v>
      </c>
      <c r="J67" s="355">
        <f>Input!$ME$9</f>
        <v>0</v>
      </c>
      <c r="K67" s="355">
        <f>Input!$MF$9</f>
        <v>0</v>
      </c>
      <c r="L67" s="355">
        <f>Input!$MG$9</f>
        <v>0</v>
      </c>
      <c r="M67" s="357">
        <f t="shared" si="12"/>
        <v>29457888</v>
      </c>
      <c r="O67" s="316">
        <f t="shared" si="14"/>
        <v>29457888</v>
      </c>
      <c r="P67" s="317">
        <f>Input!$TM$9</f>
        <v>899277</v>
      </c>
      <c r="Q67" s="317">
        <f>Input!$TW$9</f>
        <v>0</v>
      </c>
      <c r="R67" s="317">
        <f>Input!$UF$9</f>
        <v>1379680</v>
      </c>
      <c r="S67" s="321">
        <f t="shared" ref="S67:S72" si="16">O67+P67-Q67-R67</f>
        <v>28977485</v>
      </c>
      <c r="T67" s="320"/>
      <c r="U67" s="495">
        <f t="shared" si="15"/>
        <v>29457888</v>
      </c>
      <c r="V67" s="320"/>
      <c r="W67" s="314" t="s">
        <v>16</v>
      </c>
      <c r="X67" s="363">
        <f>Input!$UQ$9</f>
        <v>29457888</v>
      </c>
      <c r="Y67" s="319">
        <f t="shared" si="13"/>
        <v>0</v>
      </c>
      <c r="Z67" s="320"/>
      <c r="AA67" s="320"/>
      <c r="AB67" s="320"/>
    </row>
    <row r="68" spans="1:28" s="149" customFormat="1">
      <c r="A68" s="147">
        <v>51</v>
      </c>
      <c r="B68" s="161" t="s">
        <v>55</v>
      </c>
      <c r="C68" s="161"/>
      <c r="D68" s="355">
        <f>Input!$MH$9</f>
        <v>0</v>
      </c>
      <c r="E68" s="355">
        <f>Input!$MI$9</f>
        <v>131027053</v>
      </c>
      <c r="F68" s="355">
        <f>Input!$MJ$9</f>
        <v>0</v>
      </c>
      <c r="G68" s="355">
        <f>Input!$MK$9</f>
        <v>85173</v>
      </c>
      <c r="H68" s="355">
        <f>Input!$ML$9</f>
        <v>0</v>
      </c>
      <c r="I68" s="355">
        <f>Input!$MM$9</f>
        <v>0</v>
      </c>
      <c r="J68" s="355">
        <f>Input!$MN$9</f>
        <v>0</v>
      </c>
      <c r="K68" s="355">
        <f>Input!$MO$9</f>
        <v>0</v>
      </c>
      <c r="L68" s="355">
        <f>Input!$MP$9</f>
        <v>0</v>
      </c>
      <c r="M68" s="357">
        <f t="shared" si="12"/>
        <v>131112226</v>
      </c>
      <c r="O68" s="316">
        <f t="shared" si="14"/>
        <v>131112226</v>
      </c>
      <c r="P68" s="317">
        <f>Input!$TN$9</f>
        <v>1700469</v>
      </c>
      <c r="Q68" s="317">
        <f>Input!$TX$9</f>
        <v>0</v>
      </c>
      <c r="R68" s="317">
        <f>Input!$UG$9</f>
        <v>0</v>
      </c>
      <c r="S68" s="321">
        <f t="shared" si="16"/>
        <v>132812695</v>
      </c>
      <c r="T68" s="320"/>
      <c r="U68" s="495">
        <f t="shared" si="15"/>
        <v>131112226</v>
      </c>
      <c r="V68" s="320"/>
      <c r="W68" s="314" t="s">
        <v>55</v>
      </c>
      <c r="X68" s="363">
        <f>Input!$UR$9</f>
        <v>131112226</v>
      </c>
      <c r="Y68" s="319">
        <f t="shared" si="13"/>
        <v>0</v>
      </c>
      <c r="Z68" s="320"/>
      <c r="AA68" s="320"/>
      <c r="AB68" s="320"/>
    </row>
    <row r="69" spans="1:28" s="149" customFormat="1">
      <c r="A69" s="147">
        <v>52</v>
      </c>
      <c r="B69" s="161" t="s">
        <v>17</v>
      </c>
      <c r="C69" s="161"/>
      <c r="D69" s="355">
        <f>Input!$MQ$9</f>
        <v>33118712</v>
      </c>
      <c r="E69" s="355">
        <f>Input!$MR$9</f>
        <v>9438478</v>
      </c>
      <c r="F69" s="355">
        <f>Input!$MS$9</f>
        <v>0</v>
      </c>
      <c r="G69" s="355">
        <f>Input!$MT$9</f>
        <v>702938</v>
      </c>
      <c r="H69" s="355">
        <f>Input!$MU$9</f>
        <v>0</v>
      </c>
      <c r="I69" s="355">
        <f>Input!$MV$9</f>
        <v>0</v>
      </c>
      <c r="J69" s="355">
        <f>Input!$MW$9</f>
        <v>0</v>
      </c>
      <c r="K69" s="355">
        <f>Input!$MX$9</f>
        <v>0</v>
      </c>
      <c r="L69" s="355">
        <f>Input!$MY$9</f>
        <v>0</v>
      </c>
      <c r="M69" s="357">
        <f t="shared" si="12"/>
        <v>43260128</v>
      </c>
      <c r="O69" s="316">
        <f t="shared" si="14"/>
        <v>43260128</v>
      </c>
      <c r="P69" s="317">
        <f>Input!$TO$9</f>
        <v>3887481</v>
      </c>
      <c r="Q69" s="317">
        <f>Input!$TY$9</f>
        <v>0</v>
      </c>
      <c r="R69" s="317">
        <f>Input!$UH$9</f>
        <v>0</v>
      </c>
      <c r="S69" s="321">
        <f t="shared" si="16"/>
        <v>47147609</v>
      </c>
      <c r="T69" s="320"/>
      <c r="U69" s="495">
        <f t="shared" si="15"/>
        <v>43260128</v>
      </c>
      <c r="V69" s="320"/>
      <c r="W69" s="314" t="s">
        <v>17</v>
      </c>
      <c r="X69" s="363">
        <f>Input!$US$9</f>
        <v>43260128</v>
      </c>
      <c r="Y69" s="319">
        <f t="shared" si="13"/>
        <v>0</v>
      </c>
      <c r="Z69" s="320"/>
      <c r="AA69" s="320"/>
      <c r="AB69" s="320"/>
    </row>
    <row r="70" spans="1:28" s="149" customFormat="1">
      <c r="A70" s="147">
        <v>53</v>
      </c>
      <c r="B70" s="161" t="s">
        <v>18</v>
      </c>
      <c r="C70" s="161"/>
      <c r="D70" s="355">
        <f>Input!$MZ$9</f>
        <v>1797771</v>
      </c>
      <c r="E70" s="355">
        <f>Input!$NA$9</f>
        <v>252955</v>
      </c>
      <c r="F70" s="355">
        <f>Input!$NB$9</f>
        <v>0</v>
      </c>
      <c r="G70" s="355">
        <f>Input!$NC$9</f>
        <v>2547</v>
      </c>
      <c r="H70" s="355">
        <f>Input!$ND$9</f>
        <v>65623</v>
      </c>
      <c r="I70" s="355">
        <f>Input!$NE$9</f>
        <v>0</v>
      </c>
      <c r="J70" s="355">
        <f>Input!$NF$9</f>
        <v>0</v>
      </c>
      <c r="K70" s="355">
        <f>Input!$NG$9</f>
        <v>0</v>
      </c>
      <c r="L70" s="355">
        <f>Input!$NH$9</f>
        <v>0</v>
      </c>
      <c r="M70" s="357">
        <f t="shared" si="12"/>
        <v>2118896</v>
      </c>
      <c r="O70" s="316">
        <f t="shared" si="14"/>
        <v>2053273</v>
      </c>
      <c r="P70" s="317">
        <f>Input!$TP$9</f>
        <v>0</v>
      </c>
      <c r="Q70" s="317">
        <f>Input!$TZ$9</f>
        <v>0</v>
      </c>
      <c r="R70" s="317">
        <f>Input!$UI$9</f>
        <v>0</v>
      </c>
      <c r="S70" s="321">
        <f t="shared" si="16"/>
        <v>2053273</v>
      </c>
      <c r="T70" s="320"/>
      <c r="U70" s="495">
        <f t="shared" si="15"/>
        <v>2053273</v>
      </c>
      <c r="V70" s="320"/>
      <c r="W70" s="314" t="s">
        <v>18</v>
      </c>
      <c r="X70" s="363">
        <f>Input!$UT$9</f>
        <v>2118896</v>
      </c>
      <c r="Y70" s="319">
        <f t="shared" si="13"/>
        <v>0</v>
      </c>
      <c r="Z70" s="320"/>
      <c r="AA70" s="320"/>
      <c r="AB70" s="320"/>
    </row>
    <row r="71" spans="1:28" s="149" customFormat="1">
      <c r="A71" s="147">
        <v>54</v>
      </c>
      <c r="B71" s="161" t="s">
        <v>19</v>
      </c>
      <c r="C71" s="161"/>
      <c r="D71" s="355">
        <f>Input!$NI$9</f>
        <v>28793387</v>
      </c>
      <c r="E71" s="355">
        <f>Input!$NJ$9</f>
        <v>18111561</v>
      </c>
      <c r="F71" s="355">
        <f>Input!$NK$9</f>
        <v>0</v>
      </c>
      <c r="G71" s="355">
        <f>Input!$NL$9</f>
        <v>936887</v>
      </c>
      <c r="H71" s="355">
        <f>Input!$NM$9</f>
        <v>0</v>
      </c>
      <c r="I71" s="355">
        <f>Input!$NN$9</f>
        <v>0</v>
      </c>
      <c r="J71" s="355">
        <f>Input!$NO$9</f>
        <v>0</v>
      </c>
      <c r="K71" s="355">
        <f>Input!$NP$9</f>
        <v>0</v>
      </c>
      <c r="L71" s="355">
        <f>Input!$NQ$9</f>
        <v>0</v>
      </c>
      <c r="M71" s="357">
        <f t="shared" si="12"/>
        <v>47841835</v>
      </c>
      <c r="O71" s="316">
        <f t="shared" si="14"/>
        <v>47841835</v>
      </c>
      <c r="P71" s="317">
        <f>Input!$TQ$9</f>
        <v>746141</v>
      </c>
      <c r="Q71" s="317">
        <f>Input!$UA$9</f>
        <v>0</v>
      </c>
      <c r="R71" s="317">
        <f>Input!$UJ$9</f>
        <v>0</v>
      </c>
      <c r="S71" s="321">
        <f t="shared" si="16"/>
        <v>48587976</v>
      </c>
      <c r="T71" s="320"/>
      <c r="U71" s="495">
        <f t="shared" si="15"/>
        <v>47841835</v>
      </c>
      <c r="V71" s="320"/>
      <c r="W71" s="314" t="s">
        <v>19</v>
      </c>
      <c r="X71" s="363">
        <f>Input!$UU$9</f>
        <v>47841835</v>
      </c>
      <c r="Y71" s="319">
        <f t="shared" si="13"/>
        <v>0</v>
      </c>
      <c r="Z71" s="320"/>
      <c r="AA71" s="320"/>
      <c r="AB71" s="320"/>
    </row>
    <row r="72" spans="1:28" s="149" customFormat="1">
      <c r="A72" s="147">
        <v>55</v>
      </c>
      <c r="B72" s="161" t="s">
        <v>20</v>
      </c>
      <c r="C72" s="161"/>
      <c r="D72" s="355">
        <f>Input!$NR$9</f>
        <v>17094554</v>
      </c>
      <c r="E72" s="355">
        <f>Input!$NS$9</f>
        <v>19684245</v>
      </c>
      <c r="F72" s="355">
        <f>Input!$NT$9</f>
        <v>0</v>
      </c>
      <c r="G72" s="355">
        <f>Input!$NU$9</f>
        <v>4310</v>
      </c>
      <c r="H72" s="355">
        <f>Input!$NV$9</f>
        <v>0</v>
      </c>
      <c r="I72" s="355">
        <f>Input!$NW$9</f>
        <v>0</v>
      </c>
      <c r="J72" s="355">
        <f>Input!$NX$9</f>
        <v>808286</v>
      </c>
      <c r="K72" s="355">
        <f>Input!$NY$9</f>
        <v>0</v>
      </c>
      <c r="L72" s="355">
        <f>Input!$NZ$9</f>
        <v>0</v>
      </c>
      <c r="M72" s="357">
        <f t="shared" si="12"/>
        <v>37591395</v>
      </c>
      <c r="O72" s="316">
        <f t="shared" si="14"/>
        <v>36783109</v>
      </c>
      <c r="P72" s="317">
        <f>Input!$TR$9</f>
        <v>5007738</v>
      </c>
      <c r="Q72" s="317">
        <f>Input!$UB$9</f>
        <v>0</v>
      </c>
      <c r="R72" s="317">
        <f>Input!$UK$9</f>
        <v>0</v>
      </c>
      <c r="S72" s="321">
        <f t="shared" si="16"/>
        <v>41790847</v>
      </c>
      <c r="T72" s="320"/>
      <c r="U72" s="495">
        <f t="shared" si="15"/>
        <v>37591395</v>
      </c>
      <c r="V72" s="320"/>
      <c r="W72" s="314" t="s">
        <v>184</v>
      </c>
      <c r="X72" s="363">
        <f>Input!$UV$9</f>
        <v>37591395</v>
      </c>
      <c r="Y72" s="319">
        <f t="shared" si="13"/>
        <v>0</v>
      </c>
      <c r="Z72" s="320"/>
      <c r="AA72" s="320"/>
      <c r="AB72" s="320"/>
    </row>
    <row r="73" spans="1:28" s="149" customFormat="1" ht="13.5" thickBot="1">
      <c r="A73" s="147">
        <v>56</v>
      </c>
      <c r="B73" s="161" t="s">
        <v>21</v>
      </c>
      <c r="C73" s="161"/>
      <c r="D73" s="355">
        <f>Input!$OA$9</f>
        <v>1765251</v>
      </c>
      <c r="E73" s="355">
        <f>Input!$OB$9</f>
        <v>307040</v>
      </c>
      <c r="F73" s="355">
        <f>Input!$OC$9</f>
        <v>0</v>
      </c>
      <c r="G73" s="355">
        <f>Input!$OD$9</f>
        <v>2810650</v>
      </c>
      <c r="H73" s="355">
        <f>Input!$OE$9</f>
        <v>0</v>
      </c>
      <c r="I73" s="355">
        <f>Input!$OF$9</f>
        <v>0</v>
      </c>
      <c r="J73" s="355">
        <f>Input!$OG$9</f>
        <v>0</v>
      </c>
      <c r="K73" s="355">
        <f>Input!$OH$9</f>
        <v>0</v>
      </c>
      <c r="L73" s="355">
        <f>Input!$OI$9</f>
        <v>0</v>
      </c>
      <c r="M73" s="357">
        <f t="shared" si="12"/>
        <v>4882941</v>
      </c>
      <c r="O73" s="322">
        <f>D73+E73+G73</f>
        <v>4882941</v>
      </c>
      <c r="P73" s="317">
        <f>Input!$TS$9</f>
        <v>151</v>
      </c>
      <c r="Q73" s="323">
        <f>Input!$UC$9</f>
        <v>0</v>
      </c>
      <c r="R73" s="323">
        <f>Input!$UL$9</f>
        <v>0</v>
      </c>
      <c r="S73" s="324">
        <f>O73+P73-Q73-R73</f>
        <v>4883092</v>
      </c>
      <c r="T73" s="325"/>
      <c r="U73" s="495">
        <f t="shared" si="15"/>
        <v>4882941</v>
      </c>
      <c r="V73" s="325"/>
      <c r="W73" s="314" t="s">
        <v>21</v>
      </c>
      <c r="X73" s="363">
        <f>Input!$UW$9</f>
        <v>4882941</v>
      </c>
      <c r="Y73" s="319">
        <f t="shared" si="13"/>
        <v>0</v>
      </c>
      <c r="Z73" s="320"/>
      <c r="AA73" s="320"/>
      <c r="AB73" s="320"/>
    </row>
    <row r="74" spans="1:28" s="149" customFormat="1" ht="13.5" thickTop="1">
      <c r="A74" s="147">
        <v>57</v>
      </c>
      <c r="B74" s="161" t="s">
        <v>1363</v>
      </c>
      <c r="C74" s="161"/>
      <c r="D74" s="355">
        <f>Input!$OJ$9</f>
        <v>0</v>
      </c>
      <c r="E74" s="355">
        <f>Input!$OK$9</f>
        <v>0</v>
      </c>
      <c r="F74" s="355">
        <f>Input!$OL$9</f>
        <v>5845168</v>
      </c>
      <c r="G74" s="355">
        <f>Input!$OM$9</f>
        <v>0</v>
      </c>
      <c r="H74" s="355">
        <f>Input!$ON$9</f>
        <v>0</v>
      </c>
      <c r="I74" s="355">
        <f>Input!$OO$9</f>
        <v>0</v>
      </c>
      <c r="J74" s="355">
        <f>Input!$OP$9</f>
        <v>0</v>
      </c>
      <c r="K74" s="355">
        <f>Input!$OQ$9</f>
        <v>0</v>
      </c>
      <c r="L74" s="355">
        <f>Input!$OR$9</f>
        <v>0</v>
      </c>
      <c r="M74" s="357">
        <f t="shared" si="12"/>
        <v>5845168</v>
      </c>
      <c r="O74" s="326"/>
      <c r="P74" s="858">
        <f>Input!$TT$9</f>
        <v>592091</v>
      </c>
      <c r="Q74" s="327"/>
      <c r="R74" s="328"/>
      <c r="S74" s="329">
        <f>SUM(S65:S73)</f>
        <v>827714786</v>
      </c>
      <c r="T74" s="328"/>
      <c r="U74" s="495">
        <f t="shared" si="15"/>
        <v>5845168</v>
      </c>
      <c r="V74" s="328"/>
      <c r="W74" s="314" t="s">
        <v>22</v>
      </c>
      <c r="X74" s="363">
        <f>Input!$UX$9</f>
        <v>5845168</v>
      </c>
      <c r="Y74" s="319">
        <f t="shared" si="13"/>
        <v>0</v>
      </c>
      <c r="Z74" s="320"/>
      <c r="AA74" s="320"/>
      <c r="AB74" s="320"/>
    </row>
    <row r="75" spans="1:28" s="149" customFormat="1">
      <c r="A75" s="147">
        <v>58</v>
      </c>
      <c r="B75" s="162" t="s">
        <v>62</v>
      </c>
      <c r="C75" s="162"/>
      <c r="D75" s="355">
        <f>Input!$OS$9</f>
        <v>808718</v>
      </c>
      <c r="E75" s="355">
        <f>Input!$OT$9</f>
        <v>16053027</v>
      </c>
      <c r="F75" s="355">
        <f>Input!$OU$9</f>
        <v>592091</v>
      </c>
      <c r="G75" s="355">
        <f>Input!$OV$9</f>
        <v>10781723</v>
      </c>
      <c r="H75" s="355">
        <f>Input!$OW$9</f>
        <v>0</v>
      </c>
      <c r="I75" s="355">
        <f>Input!$OX$9</f>
        <v>0</v>
      </c>
      <c r="J75" s="355">
        <f>Input!$OY$9</f>
        <v>0</v>
      </c>
      <c r="K75" s="355">
        <f>Input!$OZ$9</f>
        <v>0</v>
      </c>
      <c r="L75" s="355">
        <f>Input!$PA$9</f>
        <v>0</v>
      </c>
      <c r="M75" s="357">
        <f t="shared" si="12"/>
        <v>28235559</v>
      </c>
      <c r="O75" s="326"/>
      <c r="P75" s="326">
        <f>SUM(P65:P74)</f>
        <v>28235559</v>
      </c>
      <c r="Q75" s="327" t="s">
        <v>185</v>
      </c>
      <c r="R75" s="328"/>
      <c r="S75" s="330"/>
      <c r="T75" s="328"/>
      <c r="U75" s="495">
        <f t="shared" si="15"/>
        <v>28235559</v>
      </c>
      <c r="V75" s="328"/>
      <c r="W75" s="314" t="s">
        <v>186</v>
      </c>
      <c r="X75" s="331">
        <f>M93*-1</f>
        <v>55459098</v>
      </c>
      <c r="Y75" s="319">
        <f>X75+M93</f>
        <v>0</v>
      </c>
      <c r="Z75" s="332"/>
      <c r="AA75" s="332"/>
      <c r="AB75" s="332"/>
    </row>
    <row r="76" spans="1:28" s="149" customFormat="1" ht="13.5" thickBot="1">
      <c r="A76" s="147">
        <v>59</v>
      </c>
      <c r="B76" s="163" t="s">
        <v>42</v>
      </c>
      <c r="C76" s="163"/>
      <c r="D76" s="359">
        <f>Input!$PB$9</f>
        <v>0</v>
      </c>
      <c r="E76" s="359">
        <f>Input!$PC$9</f>
        <v>435000</v>
      </c>
      <c r="F76" s="359">
        <f>Input!$PD$9</f>
        <v>0</v>
      </c>
      <c r="G76" s="359">
        <f>Input!$PE$9</f>
        <v>0</v>
      </c>
      <c r="H76" s="359">
        <f>Input!$PF$9</f>
        <v>5432887</v>
      </c>
      <c r="I76" s="359">
        <f>Input!$PG$9</f>
        <v>0</v>
      </c>
      <c r="J76" s="359">
        <f>Input!$PH$9</f>
        <v>0</v>
      </c>
      <c r="K76" s="359">
        <f>Input!$PI$9</f>
        <v>0</v>
      </c>
      <c r="L76" s="359">
        <f>Input!$PJ$9</f>
        <v>0</v>
      </c>
      <c r="M76" s="357">
        <f t="shared" si="12"/>
        <v>5867887</v>
      </c>
      <c r="O76" s="326"/>
      <c r="P76" s="484" t="str">
        <f>IF(P75&lt;&gt;M75,"Out of Balance","Balanced")</f>
        <v>Balanced</v>
      </c>
      <c r="Q76" s="1322" t="s">
        <v>187</v>
      </c>
      <c r="R76" s="1323"/>
      <c r="S76" s="412">
        <f>Input!$UM$9</f>
        <v>0</v>
      </c>
      <c r="T76" s="333"/>
      <c r="U76" s="496">
        <f t="shared" si="15"/>
        <v>435000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195891592</v>
      </c>
      <c r="E77" s="356">
        <f t="shared" si="17"/>
        <v>480512780</v>
      </c>
      <c r="F77" s="356">
        <f t="shared" si="17"/>
        <v>6437259</v>
      </c>
      <c r="G77" s="356">
        <f t="shared" si="17"/>
        <v>154596150</v>
      </c>
      <c r="H77" s="356">
        <f t="shared" si="17"/>
        <v>5498510</v>
      </c>
      <c r="I77" s="356">
        <f t="shared" si="17"/>
        <v>0</v>
      </c>
      <c r="J77" s="356">
        <f t="shared" si="17"/>
        <v>808286</v>
      </c>
      <c r="K77" s="356">
        <f t="shared" si="17"/>
        <v>0</v>
      </c>
      <c r="L77" s="356">
        <f t="shared" si="17"/>
        <v>0</v>
      </c>
      <c r="M77" s="356">
        <f t="shared" si="12"/>
        <v>843744577</v>
      </c>
      <c r="O77" s="50"/>
      <c r="P77" s="326"/>
      <c r="Q77" s="334" t="s">
        <v>188</v>
      </c>
      <c r="R77" s="335"/>
      <c r="S77" s="413">
        <f>Input!$UN$9</f>
        <v>0</v>
      </c>
      <c r="T77" s="336"/>
      <c r="U77" s="497">
        <f>SUM(U65:U76)</f>
        <v>838246067</v>
      </c>
      <c r="V77" s="336"/>
      <c r="W77" s="336"/>
      <c r="X77" s="337">
        <f>SUM(X65:X76)</f>
        <v>865100229</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827714786</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Input!$PK$9</f>
        <v>0</v>
      </c>
      <c r="E80" s="355">
        <f>Input!$PL$9</f>
        <v>0</v>
      </c>
      <c r="F80" s="355">
        <f>Input!$PM$9</f>
        <v>0</v>
      </c>
      <c r="G80" s="355">
        <f>Input!$PN$9</f>
        <v>0</v>
      </c>
      <c r="H80" s="355">
        <f>Input!$PO$9</f>
        <v>0</v>
      </c>
      <c r="I80" s="355">
        <f>Input!$PP$9</f>
        <v>0</v>
      </c>
      <c r="J80" s="355">
        <f>Input!$PQ$9</f>
        <v>-81094986</v>
      </c>
      <c r="K80" s="355">
        <f>Input!$PR$9</f>
        <v>0</v>
      </c>
      <c r="L80" s="355">
        <f>Input!$PS$9</f>
        <v>0</v>
      </c>
      <c r="M80" s="357">
        <f>D80+E80+F80+G80+H80+I80+J80+K80+L80</f>
        <v>-81094986</v>
      </c>
      <c r="O80" s="326"/>
      <c r="P80" s="333"/>
      <c r="Q80" s="342"/>
      <c r="R80" s="305"/>
      <c r="S80" s="343" t="s">
        <v>1059</v>
      </c>
      <c r="T80" s="344"/>
      <c r="U80" s="345"/>
      <c r="V80" s="336"/>
      <c r="W80" s="341"/>
      <c r="X80" s="305"/>
      <c r="Y80" s="305"/>
      <c r="Z80" s="305"/>
      <c r="AA80" s="305"/>
      <c r="AB80" s="305"/>
    </row>
    <row r="81" spans="1:28" s="149" customFormat="1" ht="13.5" thickBot="1">
      <c r="A81" s="147">
        <v>64</v>
      </c>
      <c r="B81" s="157" t="s">
        <v>615</v>
      </c>
      <c r="D81" s="355">
        <f>Input!$PT$9</f>
        <v>23677036</v>
      </c>
      <c r="E81" s="355">
        <f>Input!$PU$9</f>
        <v>-18087240</v>
      </c>
      <c r="F81" s="355">
        <f>Input!$PV$9</f>
        <v>-464313</v>
      </c>
      <c r="G81" s="355">
        <f>Input!$PW$9</f>
        <v>-8778082</v>
      </c>
      <c r="H81" s="355">
        <f>Input!$PX$9</f>
        <v>4211</v>
      </c>
      <c r="I81" s="355">
        <f>Input!$PY$9</f>
        <v>5753296</v>
      </c>
      <c r="J81" s="355">
        <f>Input!$PZ$9</f>
        <v>-734028</v>
      </c>
      <c r="K81" s="355">
        <f>Input!$QA$9</f>
        <v>0</v>
      </c>
      <c r="L81" s="355">
        <f>Input!$QB$9</f>
        <v>949498</v>
      </c>
      <c r="M81" s="357">
        <f>D81+E81+F81+G81+H81+I81+J81+K81+L81</f>
        <v>2320378</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Input!$QC$9</f>
        <v>0</v>
      </c>
      <c r="E82" s="355">
        <f>Input!$QD$9</f>
        <v>0</v>
      </c>
      <c r="F82" s="355">
        <f>Input!$QE$9</f>
        <v>0</v>
      </c>
      <c r="G82" s="355">
        <f>Input!$QF$9</f>
        <v>0</v>
      </c>
      <c r="H82" s="355">
        <f>Input!$QG$9</f>
        <v>0</v>
      </c>
      <c r="I82" s="355">
        <f>Input!$QH$9</f>
        <v>0</v>
      </c>
      <c r="J82" s="355">
        <f>Input!$QI$9</f>
        <v>70419687</v>
      </c>
      <c r="K82" s="355">
        <f>Input!$QJ$9</f>
        <v>0</v>
      </c>
      <c r="L82" s="355">
        <f>Input!$QK$9</f>
        <v>0</v>
      </c>
      <c r="M82" s="357">
        <f>D82+E82+F82+G82+H82+I82+J82+K82+L82</f>
        <v>70419687</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Input!$QL$9</f>
        <v>-15896575</v>
      </c>
      <c r="E83" s="355">
        <f>Input!$QM$9</f>
        <v>-13173084</v>
      </c>
      <c r="F83" s="355">
        <f>Input!$QN$9</f>
        <v>-1411098</v>
      </c>
      <c r="G83" s="355">
        <f>Input!$QO$9</f>
        <v>0</v>
      </c>
      <c r="H83" s="355">
        <f>Input!$QP$9</f>
        <v>0</v>
      </c>
      <c r="I83" s="355">
        <f>Input!$QQ$9</f>
        <v>0</v>
      </c>
      <c r="J83" s="355">
        <f>Input!$QR$9</f>
        <v>0</v>
      </c>
      <c r="K83" s="355">
        <f>Input!$QS$9</f>
        <v>0</v>
      </c>
      <c r="L83" s="355">
        <f>Input!$QT$9</f>
        <v>0</v>
      </c>
      <c r="M83" s="357">
        <f>D83+E83+F83+G83+H83+I83+J83+K83+L83</f>
        <v>-30480757</v>
      </c>
      <c r="O83" s="346"/>
      <c r="P83" s="458" t="s">
        <v>596</v>
      </c>
      <c r="Q83" s="459"/>
      <c r="R83" s="460"/>
      <c r="S83" s="461">
        <f>IF(M91&lt;0,"N/A",M91)</f>
        <v>24363013</v>
      </c>
      <c r="T83" s="326"/>
      <c r="U83" s="343"/>
      <c r="V83" s="305"/>
      <c r="W83" s="305"/>
      <c r="X83" s="343"/>
      <c r="Y83" s="343"/>
      <c r="Z83" s="305"/>
      <c r="AA83" s="305"/>
      <c r="AB83" s="305"/>
    </row>
    <row r="84" spans="1:28" s="149" customFormat="1">
      <c r="A84" s="147">
        <v>67</v>
      </c>
      <c r="B84" s="164" t="s">
        <v>3</v>
      </c>
      <c r="C84" s="164"/>
      <c r="D84" s="356">
        <f t="shared" ref="D84:L84" si="18">SUM(D80:D83)</f>
        <v>7780461</v>
      </c>
      <c r="E84" s="356">
        <f t="shared" si="18"/>
        <v>-31260324</v>
      </c>
      <c r="F84" s="356">
        <f t="shared" si="18"/>
        <v>-1875411</v>
      </c>
      <c r="G84" s="356">
        <f t="shared" si="18"/>
        <v>-8778082</v>
      </c>
      <c r="H84" s="356">
        <f t="shared" si="18"/>
        <v>4211</v>
      </c>
      <c r="I84" s="356">
        <f t="shared" si="18"/>
        <v>5753296</v>
      </c>
      <c r="J84" s="356">
        <f t="shared" si="18"/>
        <v>-11409327</v>
      </c>
      <c r="K84" s="356">
        <f t="shared" si="18"/>
        <v>0</v>
      </c>
      <c r="L84" s="356">
        <f t="shared" si="18"/>
        <v>949498</v>
      </c>
      <c r="M84" s="356">
        <f>D84+E84+F84+G84+H84+I84+J84+K84+L84</f>
        <v>-38835678</v>
      </c>
      <c r="O84" s="346"/>
      <c r="P84" s="462" t="s">
        <v>597</v>
      </c>
      <c r="Q84" s="347"/>
      <c r="R84" s="347"/>
      <c r="S84" s="492">
        <f>Input!$UY$9</f>
        <v>-11711439</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36074452</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Input!$QU$9</f>
        <v>0</v>
      </c>
      <c r="E87" s="355">
        <f>Input!$QV$9</f>
        <v>-148503</v>
      </c>
      <c r="F87" s="355">
        <f>Input!$QW$9</f>
        <v>0</v>
      </c>
      <c r="G87" s="355">
        <f>Input!$QX$9</f>
        <v>156105</v>
      </c>
      <c r="H87" s="355">
        <f>Input!$QY$9</f>
        <v>6736</v>
      </c>
      <c r="I87" s="355">
        <f>Input!$QZ$9</f>
        <v>26081674</v>
      </c>
      <c r="J87" s="355">
        <f>Input!$RA$9</f>
        <v>0</v>
      </c>
      <c r="K87" s="355">
        <f>Input!$RB$9</f>
        <v>0</v>
      </c>
      <c r="L87" s="355">
        <f>Input!$RC$9</f>
        <v>0</v>
      </c>
      <c r="M87" s="357">
        <f>D87+E87+F87+G87+H87+I87+J87+K87+L87</f>
        <v>26096012</v>
      </c>
      <c r="O87" s="51"/>
      <c r="P87" s="467" t="s">
        <v>599</v>
      </c>
      <c r="Q87" s="305"/>
      <c r="R87" s="347"/>
      <c r="S87" s="463">
        <f>Input!$UZ$9</f>
        <v>26096012</v>
      </c>
      <c r="T87" s="50"/>
      <c r="U87" s="50"/>
      <c r="V87" s="50"/>
      <c r="W87" s="305"/>
      <c r="X87" s="343"/>
      <c r="Y87" s="343"/>
      <c r="Z87" s="305"/>
      <c r="AA87" s="305"/>
      <c r="AB87" s="305"/>
    </row>
    <row r="88" spans="1:28" s="149" customFormat="1">
      <c r="A88" s="147">
        <v>71</v>
      </c>
      <c r="B88" s="149" t="s">
        <v>45</v>
      </c>
      <c r="D88" s="355">
        <f>Input!$RD$9</f>
        <v>0</v>
      </c>
      <c r="E88" s="355">
        <f>Input!$RE$9</f>
        <v>0</v>
      </c>
      <c r="F88" s="355">
        <f>Input!$RF$9</f>
        <v>0</v>
      </c>
      <c r="G88" s="355">
        <f>Input!$RG$9</f>
        <v>0</v>
      </c>
      <c r="H88" s="355">
        <f>Input!$RH$9</f>
        <v>0</v>
      </c>
      <c r="I88" s="355">
        <f>Input!$RI$9</f>
        <v>9978440</v>
      </c>
      <c r="J88" s="355">
        <f>Input!$RJ$9</f>
        <v>0</v>
      </c>
      <c r="K88" s="355">
        <f>Input!$RK$9</f>
        <v>0</v>
      </c>
      <c r="L88" s="355">
        <f>Input!$RL$9</f>
        <v>0</v>
      </c>
      <c r="M88" s="357">
        <f>D88+E88+F88+G88+H88+I88+J88+K88+L88</f>
        <v>9978440</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-148503</v>
      </c>
      <c r="F89" s="356">
        <f t="shared" si="19"/>
        <v>0</v>
      </c>
      <c r="G89" s="356">
        <f t="shared" si="19"/>
        <v>156105</v>
      </c>
      <c r="H89" s="356">
        <f t="shared" si="19"/>
        <v>6736</v>
      </c>
      <c r="I89" s="356">
        <f t="shared" si="19"/>
        <v>36060114</v>
      </c>
      <c r="J89" s="356">
        <f t="shared" si="19"/>
        <v>0</v>
      </c>
      <c r="K89" s="356">
        <f t="shared" si="19"/>
        <v>0</v>
      </c>
      <c r="L89" s="356">
        <f t="shared" si="19"/>
        <v>0</v>
      </c>
      <c r="M89" s="356">
        <f>D89+E89+F89+G89+H89+I89+J89+K89+L89</f>
        <v>36074452</v>
      </c>
      <c r="O89" s="51"/>
      <c r="P89" s="470" t="s">
        <v>601</v>
      </c>
      <c r="Q89" s="305"/>
      <c r="R89" s="305"/>
      <c r="S89" s="464">
        <f>IFERROR(S85-S87,"")</f>
        <v>9978440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309061</v>
      </c>
      <c r="E91" s="356">
        <f t="shared" si="20"/>
        <v>7513790</v>
      </c>
      <c r="F91" s="356">
        <f t="shared" si="20"/>
        <v>-17427</v>
      </c>
      <c r="G91" s="356">
        <f t="shared" si="20"/>
        <v>-8798999</v>
      </c>
      <c r="H91" s="356">
        <f t="shared" si="20"/>
        <v>-5336785</v>
      </c>
      <c r="I91" s="356">
        <f t="shared" si="20"/>
        <v>41918346</v>
      </c>
      <c r="J91" s="356">
        <f t="shared" si="20"/>
        <v>-11717613</v>
      </c>
      <c r="K91" s="356">
        <f t="shared" si="20"/>
        <v>0</v>
      </c>
      <c r="L91" s="356">
        <f>L63-L77+L84+L89</f>
        <v>492640</v>
      </c>
      <c r="M91" s="356">
        <f>D91+E91+F91+G91+H91+I91+J91+K91+L91</f>
        <v>24363013</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Input!$RM$9</f>
        <v>0</v>
      </c>
      <c r="E93" s="355">
        <f>Input!$RN$9</f>
        <v>0</v>
      </c>
      <c r="F93" s="355">
        <f>Input!$RO$9</f>
        <v>0</v>
      </c>
      <c r="G93" s="355">
        <f>Input!$RP$9</f>
        <v>0</v>
      </c>
      <c r="H93" s="355">
        <f>Input!$RQ$9</f>
        <v>0</v>
      </c>
      <c r="I93" s="355">
        <f>Input!$RR$9</f>
        <v>0</v>
      </c>
      <c r="J93" s="355">
        <f>Input!$RS$9</f>
        <v>0</v>
      </c>
      <c r="K93" s="355">
        <f>Input!$RT$9</f>
        <v>0</v>
      </c>
      <c r="L93" s="355">
        <f>Input!$RU$9</f>
        <v>-55459098</v>
      </c>
      <c r="M93" s="357">
        <f>D93+E93+F93+G93+H93+I93+J93+K93+L93</f>
        <v>-55459098</v>
      </c>
      <c r="O93" s="299"/>
      <c r="P93" s="50"/>
      <c r="Q93" s="50"/>
      <c r="R93" s="50"/>
      <c r="S93" s="50"/>
      <c r="T93" s="50"/>
      <c r="U93" s="50"/>
      <c r="V93" s="50"/>
      <c r="W93" s="50"/>
      <c r="X93" s="50"/>
      <c r="Y93" s="50"/>
      <c r="Z93" s="50"/>
      <c r="AA93" s="50"/>
      <c r="AB93" s="50"/>
    </row>
    <row r="94" spans="1:28" s="149" customFormat="1">
      <c r="A94" s="147">
        <v>78</v>
      </c>
      <c r="B94" s="51" t="s">
        <v>94</v>
      </c>
      <c r="C94" s="51"/>
      <c r="D94" s="355">
        <f>Input!$RV$9</f>
        <v>0</v>
      </c>
      <c r="E94" s="355">
        <f>Input!$RW$9</f>
        <v>0</v>
      </c>
      <c r="F94" s="355">
        <f>Input!$RX$9</f>
        <v>0</v>
      </c>
      <c r="G94" s="355">
        <f>Input!$RY$9</f>
        <v>0</v>
      </c>
      <c r="H94" s="355">
        <f>Input!$RZ$9</f>
        <v>0</v>
      </c>
      <c r="I94" s="355">
        <f>Input!$SA$9</f>
        <v>0</v>
      </c>
      <c r="J94" s="355">
        <f>Input!$SB$9</f>
        <v>0</v>
      </c>
      <c r="K94" s="355">
        <f>Input!$SC$9</f>
        <v>0</v>
      </c>
      <c r="L94" s="355">
        <f>Input!$SD$9</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Input!$SE$9</f>
        <v>0</v>
      </c>
      <c r="E95" s="355">
        <f>Input!$SF$9</f>
        <v>0</v>
      </c>
      <c r="F95" s="355">
        <f>Input!$SG$9</f>
        <v>0</v>
      </c>
      <c r="G95" s="355">
        <f>Input!$SH$9</f>
        <v>0</v>
      </c>
      <c r="H95" s="355">
        <f>Input!$SI$9</f>
        <v>0</v>
      </c>
      <c r="I95" s="355">
        <f>Input!$SJ$9</f>
        <v>0</v>
      </c>
      <c r="J95" s="355">
        <f>Input!$SK$9</f>
        <v>0</v>
      </c>
      <c r="K95" s="355">
        <f>Input!$SL$9</f>
        <v>0</v>
      </c>
      <c r="L95" s="355">
        <f>Input!$SM$9</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Input!$SN$9</f>
        <v>0</v>
      </c>
      <c r="E96" s="355">
        <f>Input!$SO$9</f>
        <v>0</v>
      </c>
      <c r="F96" s="355">
        <f>Input!$SP$9</f>
        <v>0</v>
      </c>
      <c r="G96" s="355">
        <f>Input!$SQ$9</f>
        <v>0</v>
      </c>
      <c r="H96" s="355">
        <f>Input!$SR$9</f>
        <v>0</v>
      </c>
      <c r="I96" s="355">
        <f>Input!$SS$9</f>
        <v>0</v>
      </c>
      <c r="J96" s="355">
        <f>Input!$ST$9</f>
        <v>0</v>
      </c>
      <c r="K96" s="355">
        <f>Input!$SU$9</f>
        <v>0</v>
      </c>
      <c r="L96" s="355">
        <f>Input!$SV$9</f>
        <v>164518</v>
      </c>
      <c r="M96" s="357">
        <f>D96+E96+F96+G96+H96+I96+J96+K96+L96</f>
        <v>164518</v>
      </c>
      <c r="O96" s="348"/>
      <c r="P96" s="50"/>
      <c r="Q96" s="50"/>
      <c r="R96" s="50"/>
      <c r="S96" s="50"/>
      <c r="T96" s="157"/>
      <c r="U96" s="157"/>
      <c r="V96" s="157"/>
      <c r="W96" s="157"/>
      <c r="X96" s="157"/>
      <c r="Y96" s="50"/>
      <c r="Z96" s="50"/>
      <c r="AA96" s="50"/>
      <c r="AB96" s="50"/>
    </row>
    <row r="97" spans="1:28" s="149" customFormat="1">
      <c r="A97" s="147">
        <v>79</v>
      </c>
      <c r="B97" s="51" t="s">
        <v>70</v>
      </c>
      <c r="C97" s="51"/>
      <c r="D97" s="355">
        <f>Input!$SW$9</f>
        <v>0</v>
      </c>
      <c r="E97" s="355">
        <f>Input!$SX$9</f>
        <v>0</v>
      </c>
      <c r="F97" s="355">
        <f>Input!$SY$9</f>
        <v>0</v>
      </c>
      <c r="G97" s="355">
        <f>Input!$SZ$9</f>
        <v>0</v>
      </c>
      <c r="H97" s="355">
        <f>Input!$TA$9</f>
        <v>0</v>
      </c>
      <c r="I97" s="355">
        <f>Input!$TB$9</f>
        <v>0</v>
      </c>
      <c r="J97" s="355">
        <f>Input!$TC$9</f>
        <v>0</v>
      </c>
      <c r="K97" s="355">
        <f>Input!$TD$9</f>
        <v>0</v>
      </c>
      <c r="L97" s="355">
        <f>Input!$TE$9</f>
        <v>109330544</v>
      </c>
      <c r="M97" s="357">
        <f>D97+E97+F97+G97+H97+I97+J97+K97+L97</f>
        <v>109330544</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309061</v>
      </c>
      <c r="E98" s="360">
        <f t="shared" si="21"/>
        <v>7513790</v>
      </c>
      <c r="F98" s="360">
        <f t="shared" si="21"/>
        <v>-17427</v>
      </c>
      <c r="G98" s="360">
        <f t="shared" si="21"/>
        <v>-8798999</v>
      </c>
      <c r="H98" s="360">
        <f t="shared" si="21"/>
        <v>-5336785</v>
      </c>
      <c r="I98" s="360">
        <f t="shared" si="21"/>
        <v>41918346</v>
      </c>
      <c r="J98" s="360">
        <f t="shared" si="21"/>
        <v>-11717613</v>
      </c>
      <c r="K98" s="360">
        <f t="shared" si="21"/>
        <v>0</v>
      </c>
      <c r="L98" s="360">
        <f t="shared" si="21"/>
        <v>54528604</v>
      </c>
      <c r="M98" s="360">
        <f>SUM(M91:M97)</f>
        <v>78398977</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Input!$VC$9</f>
        <v>Yinwen Li</v>
      </c>
      <c r="Q103" s="1334"/>
      <c r="R103" s="1333" t="str">
        <f>Input!$VD$9</f>
        <v>(210) 562-6268</v>
      </c>
      <c r="S103" s="1334"/>
      <c r="T103" s="305">
        <v>0</v>
      </c>
      <c r="U103" s="1335" t="str">
        <f>HYPERLINK("Mailto:"&amp;Input!$VE$9,Input!$VE$9)</f>
        <v>LIY2@uthscsa.edu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Input!$TF$9</f>
        <v>78398977</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IF($L$123&lt;&gt;Input!$F$9,"Out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386731749</v>
      </c>
      <c r="E110" s="357">
        <f>SUM($E$10:$E$14)+SUM($E$19:$E$28)+SUM($E$50)+$E$53+SUM($E$56:$E$61)+SUM($E$65:$E$76)+SUM($E$80:$E$83)+SUM($E$87:$E$88)+SUM($E$93:$E$97)+SUM($E$32:$E$41)+$E$47</f>
        <v>968539350</v>
      </c>
      <c r="F110" s="357">
        <f>SUM($F$10:$F$14)+SUM($F$19:$F$28)+SUM($F$50)+$F$53+SUM($F$56:$F$61)+SUM($F$65:$F$76)+SUM($F$80:$F$83)+SUM($F$87:$F$88)+SUM($F$93:$F$97)+SUM($F$32:$F$41)+$F$47</f>
        <v>12857091</v>
      </c>
      <c r="G110" s="357">
        <f>SUM($G$10:$G$14)+SUM($G$19:$G$28)+SUM($G$50)+$G$53+SUM($G$56:$G$61)+SUM($G$65:$G$76)+SUM($G$80:$G$83)+SUM($G$87:$G$88)+SUM($G$93:$G$97)+SUM($G$32:$G$41)+$G$47</f>
        <v>300393301</v>
      </c>
      <c r="H110" s="357">
        <f>SUM($H$10:$H$14)+SUM($H$19:$H$28)+SUM($H$50)+$H$53+SUM($H$56:$H$61)+SUM($H$65:$H$76)+SUM($H$80:$H$83)+SUM($H$87:$H$88)+SUM($H$93:$H$97)+SUM($H$32:$H$41)+$H$47</f>
        <v>5660235</v>
      </c>
      <c r="I110" s="357">
        <f>SUM($I$10:$I$14)+SUM($I$19:$I$28)+SUM($I$50)+$I$53+SUM($I$56:$I$61)+SUM($I$65:$I$76)+SUM($I$80:$I$83)+SUM($I$87:$I$88)+SUM($I$93:$I$97)+SUM($I$32:$I$41)+$I$47</f>
        <v>41918346</v>
      </c>
      <c r="J110" s="357">
        <f>SUM($J$10:$J$14)+SUM($J$19:$J$28)+SUM($J$50)+$J$53+SUM($J$56:$J$61)+SUM($J$65:$J$76)+SUM($J$80:$J$83)+SUM($J$87:$J$88)+SUM($J$93:$J$97)+SUM($J$32:$J$41)+$J$47</f>
        <v>-10101041</v>
      </c>
      <c r="K110" s="357">
        <f>SUM($K$10:$K$14)+SUM($K$19:$K$28)+SUM($K$50)+$K$53+SUM($K$56:$K$61)+SUM($K$65:$K$76)+SUM($K$80:$K$83)+SUM($K$87:$K$88)+SUM($K$93:$K$97)+SUM($K$32:$K$41)+$K$47</f>
        <v>0</v>
      </c>
      <c r="L110" s="357">
        <f>SUM($L$10:$L$14)+SUM($L$19:$L$28)+SUM($L$50)+$L$53+SUM($L$56:$L$61)+SUM($L$65:$L$76)+SUM($L$80:$L$83)+SUM($L$87:$L$88)+SUM($L$93:$L$97)+SUM($L$32:$L$41)+$L$47</f>
        <v>54528604</v>
      </c>
      <c r="M110" s="51"/>
      <c r="O110" s="51"/>
    </row>
    <row r="111" spans="1:28" s="50" customFormat="1">
      <c r="A111" s="293"/>
      <c r="B111" s="51"/>
      <c r="C111" s="51"/>
      <c r="D111" s="51"/>
      <c r="E111" s="51"/>
      <c r="F111" s="51"/>
      <c r="G111" s="51"/>
      <c r="H111" s="51"/>
      <c r="I111" s="51"/>
      <c r="J111" s="51"/>
      <c r="K111" s="51"/>
      <c r="L111" s="357">
        <f>SUM($D$110:$L$110)</f>
        <v>1760527635</v>
      </c>
      <c r="M111" s="51"/>
      <c r="O111" s="51"/>
    </row>
    <row r="112" spans="1:28" s="50" customFormat="1">
      <c r="A112" s="293"/>
      <c r="B112" s="51"/>
      <c r="C112" s="51"/>
      <c r="D112" s="51"/>
      <c r="E112" s="51"/>
      <c r="F112" s="51"/>
      <c r="G112" s="51"/>
      <c r="H112" s="51"/>
      <c r="I112" s="51"/>
      <c r="J112" s="51" t="s">
        <v>1249</v>
      </c>
      <c r="K112" s="51"/>
      <c r="L112" s="357">
        <f>$M$105</f>
        <v>78398977</v>
      </c>
      <c r="M112" s="51"/>
      <c r="O112" s="51"/>
    </row>
    <row r="113" spans="1:15" s="50" customFormat="1">
      <c r="A113" s="293"/>
      <c r="B113" s="51"/>
      <c r="C113" s="51"/>
      <c r="D113" s="51"/>
      <c r="E113" s="51"/>
      <c r="F113" s="51"/>
      <c r="G113" s="51"/>
      <c r="H113" s="51"/>
      <c r="I113" s="51"/>
      <c r="J113" s="51" t="s">
        <v>1250</v>
      </c>
      <c r="K113" s="51"/>
      <c r="L113" s="143">
        <f>$Q$32</f>
        <v>50699228</v>
      </c>
      <c r="M113" s="51"/>
      <c r="O113" s="51"/>
    </row>
    <row r="114" spans="1:15" s="50" customFormat="1">
      <c r="A114" s="293"/>
      <c r="B114" s="51"/>
      <c r="C114" s="51"/>
      <c r="D114" s="51"/>
      <c r="E114" s="51"/>
      <c r="F114" s="51"/>
      <c r="G114" s="51"/>
      <c r="H114" s="51"/>
      <c r="I114" s="51"/>
      <c r="J114" s="51" t="s">
        <v>1250</v>
      </c>
      <c r="K114" s="51"/>
      <c r="L114" s="143">
        <f>$R$34</f>
        <v>-4751425</v>
      </c>
      <c r="M114" s="51"/>
      <c r="O114" s="51"/>
    </row>
    <row r="115" spans="1:15" s="50" customFormat="1">
      <c r="A115" s="293"/>
      <c r="B115" s="51"/>
      <c r="C115" s="51"/>
      <c r="D115" s="51"/>
      <c r="E115" s="51"/>
      <c r="F115" s="51"/>
      <c r="G115" s="51"/>
      <c r="H115" s="51"/>
      <c r="I115" s="51"/>
      <c r="J115" s="51" t="s">
        <v>27</v>
      </c>
      <c r="K115" s="51"/>
      <c r="L115" s="143">
        <f>SUM($P$65:$P$74)</f>
        <v>28235559</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1471056</v>
      </c>
      <c r="M117" s="51"/>
      <c r="O117" s="51"/>
    </row>
    <row r="118" spans="1:15" s="50" customFormat="1">
      <c r="A118" s="293"/>
      <c r="B118" s="51"/>
      <c r="C118" s="51"/>
      <c r="D118" s="51"/>
      <c r="E118" s="51"/>
      <c r="F118" s="51"/>
      <c r="G118" s="51"/>
      <c r="H118" s="51"/>
      <c r="I118" s="51"/>
      <c r="J118" s="51" t="s">
        <v>608</v>
      </c>
      <c r="K118" s="51"/>
      <c r="L118" s="143">
        <f>SUM($R$65:$R$73)</f>
        <v>1379680</v>
      </c>
      <c r="M118" s="51"/>
      <c r="O118" s="51"/>
    </row>
    <row r="119" spans="1:15" s="50" customFormat="1">
      <c r="A119" s="293"/>
      <c r="B119" s="51"/>
      <c r="C119" s="51"/>
      <c r="D119" s="51"/>
      <c r="E119" s="51"/>
      <c r="F119" s="51"/>
      <c r="G119" s="51"/>
      <c r="H119" s="51"/>
      <c r="I119" s="51"/>
      <c r="J119" s="51" t="s">
        <v>182</v>
      </c>
      <c r="K119" s="51"/>
      <c r="L119" s="143">
        <f>SUM($X$65:$X$74)</f>
        <v>809641131</v>
      </c>
      <c r="M119" s="51"/>
      <c r="O119" s="51"/>
    </row>
    <row r="120" spans="1:15" s="50" customFormat="1">
      <c r="A120" s="293"/>
      <c r="B120" s="51"/>
      <c r="C120" s="51"/>
      <c r="D120" s="51"/>
      <c r="E120" s="51"/>
      <c r="F120" s="51"/>
      <c r="G120" s="51"/>
      <c r="H120" s="51"/>
      <c r="I120" s="51"/>
      <c r="J120" s="51" t="s">
        <v>609</v>
      </c>
      <c r="K120" s="51"/>
      <c r="L120" s="143">
        <f>$S$84</f>
        <v>-11711439</v>
      </c>
      <c r="M120" s="51"/>
      <c r="O120" s="51"/>
    </row>
    <row r="121" spans="1:15" s="50" customFormat="1">
      <c r="A121" s="293"/>
      <c r="B121" s="51"/>
      <c r="C121" s="51"/>
      <c r="D121" s="51"/>
      <c r="E121" s="51"/>
      <c r="F121" s="51"/>
      <c r="G121" s="51"/>
      <c r="H121" s="51"/>
      <c r="I121" s="51"/>
      <c r="J121" s="51" t="s">
        <v>609</v>
      </c>
      <c r="K121" s="51"/>
      <c r="L121" s="143">
        <f>$S$87</f>
        <v>26096012</v>
      </c>
      <c r="M121" s="51"/>
      <c r="O121" s="51"/>
    </row>
    <row r="122" spans="1:15" s="50" customFormat="1">
      <c r="A122" s="293"/>
      <c r="B122" s="51"/>
      <c r="C122" s="51"/>
      <c r="D122" s="51"/>
      <c r="E122" s="51"/>
      <c r="F122" s="51"/>
      <c r="G122" s="51"/>
      <c r="H122" s="51"/>
      <c r="I122" s="51"/>
      <c r="J122" s="51" t="s">
        <v>1255</v>
      </c>
      <c r="K122" s="51"/>
      <c r="L122" s="935">
        <f>VLOOKUP(B2,Names!$B$10:$C$88,2,FALSE)</f>
        <v>40</v>
      </c>
      <c r="M122" s="51"/>
      <c r="O122" s="51"/>
    </row>
    <row r="123" spans="1:15">
      <c r="L123" s="486">
        <f>SUM($L$111:$L$122)</f>
        <v>2739986454</v>
      </c>
    </row>
  </sheetData>
  <mergeCells count="27">
    <mergeCell ref="Q76:R76"/>
    <mergeCell ref="P105:V106"/>
    <mergeCell ref="P82:S82"/>
    <mergeCell ref="P100:V100"/>
    <mergeCell ref="P103:Q103"/>
    <mergeCell ref="R103:S103"/>
    <mergeCell ref="U103:V103"/>
    <mergeCell ref="B2:G2"/>
    <mergeCell ref="O61:O64"/>
    <mergeCell ref="P61:P64"/>
    <mergeCell ref="Q61:Q64"/>
    <mergeCell ref="R61:R64"/>
    <mergeCell ref="P10:P11"/>
    <mergeCell ref="B3:F3"/>
    <mergeCell ref="B4:F4"/>
    <mergeCell ref="O19:S19"/>
    <mergeCell ref="B6:M6"/>
    <mergeCell ref="P4:Q4"/>
    <mergeCell ref="O60:S60"/>
    <mergeCell ref="G64:K64"/>
    <mergeCell ref="S61:S64"/>
    <mergeCell ref="U61:U64"/>
    <mergeCell ref="W60:Y60"/>
    <mergeCell ref="X61:X64"/>
    <mergeCell ref="Y61:Y64"/>
    <mergeCell ref="U19:Y19"/>
    <mergeCell ref="W61:W64"/>
  </mergeCells>
  <conditionalFormatting sqref="D99:M99 D98:L98">
    <cfRule type="cellIs" dxfId="438" priority="66" stopIfTrue="1" operator="notEqual">
      <formula>#REF!</formula>
    </cfRule>
  </conditionalFormatting>
  <conditionalFormatting sqref="M77">
    <cfRule type="cellIs" dxfId="437" priority="65" stopIfTrue="1" operator="notEqual">
      <formula>SUM($M$65:$M$76)</formula>
    </cfRule>
  </conditionalFormatting>
  <conditionalFormatting sqref="M89">
    <cfRule type="cellIs" dxfId="436" priority="64" stopIfTrue="1" operator="notEqual">
      <formula>SUM($M$87:$M$88)</formula>
    </cfRule>
  </conditionalFormatting>
  <conditionalFormatting sqref="M84">
    <cfRule type="cellIs" dxfId="435" priority="63" stopIfTrue="1" operator="notEqual">
      <formula>SUM($M$80:$M$83)</formula>
    </cfRule>
  </conditionalFormatting>
  <conditionalFormatting sqref="M62">
    <cfRule type="cellIs" dxfId="434" priority="59" stopIfTrue="1" operator="notEqual">
      <formula>SUM($M$56:$M$61)</formula>
    </cfRule>
  </conditionalFormatting>
  <conditionalFormatting sqref="M15">
    <cfRule type="cellIs" dxfId="433" priority="58" stopIfTrue="1" operator="notEqual">
      <formula>SUM($M$10:$M$14)</formula>
    </cfRule>
  </conditionalFormatting>
  <conditionalFormatting sqref="R99:S102 X95:AB102 U93:W100 T95:T102 O93:O100 P94:P101 Q93:Q100 S95:S98 R95:R97 D98:L98">
    <cfRule type="cellIs" dxfId="432" priority="57" stopIfTrue="1" operator="notEqual">
      <formula>#REF!</formula>
    </cfRule>
  </conditionalFormatting>
  <conditionalFormatting sqref="G64:K64">
    <cfRule type="expression" dxfId="431" priority="40">
      <formula>$R$98&lt;&gt;0</formula>
    </cfRule>
  </conditionalFormatting>
  <conditionalFormatting sqref="O11:P11">
    <cfRule type="expression" dxfId="430" priority="39">
      <formula>#REF!&lt;&gt;$N$11</formula>
    </cfRule>
  </conditionalFormatting>
  <conditionalFormatting sqref="O13">
    <cfRule type="expression" dxfId="429" priority="38">
      <formula>$Q$13&lt;&gt;$N$13</formula>
    </cfRule>
  </conditionalFormatting>
  <conditionalFormatting sqref="O12">
    <cfRule type="expression" dxfId="428" priority="37">
      <formula>$Q$12&lt;&gt;$N$12</formula>
    </cfRule>
  </conditionalFormatting>
  <conditionalFormatting sqref="S91">
    <cfRule type="expression" priority="35" stopIfTrue="1">
      <formula>$N$91&lt;0</formula>
    </cfRule>
    <cfRule type="expression" dxfId="427" priority="36">
      <formula>$T$91&lt;&gt;0</formula>
    </cfRule>
  </conditionalFormatting>
  <conditionalFormatting sqref="S84 S87">
    <cfRule type="expression" dxfId="426" priority="33" stopIfTrue="1">
      <formula>$M$91&gt;=0</formula>
    </cfRule>
    <cfRule type="expression" priority="34">
      <formula>$M$91&lt;0</formula>
    </cfRule>
  </conditionalFormatting>
  <conditionalFormatting sqref="U100:V100 R102 U101 P100:P101 Q100:R100 S100:T102 S105:U106">
    <cfRule type="cellIs" dxfId="425" priority="32" stopIfTrue="1" operator="notEqual">
      <formula>#REF!</formula>
    </cfRule>
  </conditionalFormatting>
  <conditionalFormatting sqref="P76">
    <cfRule type="expression" dxfId="424" priority="30">
      <formula>$P$75&lt;&gt;$M$75</formula>
    </cfRule>
  </conditionalFormatting>
  <conditionalFormatting sqref="Y78">
    <cfRule type="expression" dxfId="423" priority="29">
      <formula>$Y$77&lt;&gt;0</formula>
    </cfRule>
  </conditionalFormatting>
  <conditionalFormatting sqref="Q36">
    <cfRule type="expression" dxfId="422" priority="25">
      <formula>#REF!&lt;&gt;#REF!</formula>
    </cfRule>
  </conditionalFormatting>
  <conditionalFormatting sqref="R35">
    <cfRule type="expression" dxfId="421" priority="24">
      <formula>#REF!&lt;&gt;0</formula>
    </cfRule>
  </conditionalFormatting>
  <conditionalFormatting sqref="Q35">
    <cfRule type="expression" dxfId="420" priority="23">
      <formula>#REF!&lt;&gt;0</formula>
    </cfRule>
  </conditionalFormatting>
  <conditionalFormatting sqref="R36">
    <cfRule type="expression" dxfId="419" priority="22">
      <formula>#REF!&lt;&gt;#REF!</formula>
    </cfRule>
  </conditionalFormatting>
  <conditionalFormatting sqref="D99:M99 D98:L98">
    <cfRule type="cellIs" dxfId="418" priority="21" stopIfTrue="1" operator="notEqual">
      <formula>#REF!</formula>
    </cfRule>
  </conditionalFormatting>
  <conditionalFormatting sqref="M77">
    <cfRule type="cellIs" dxfId="417" priority="20" stopIfTrue="1" operator="notEqual">
      <formula>SUM($M$65:$M$76)</formula>
    </cfRule>
  </conditionalFormatting>
  <conditionalFormatting sqref="M89">
    <cfRule type="cellIs" dxfId="416" priority="19" stopIfTrue="1" operator="notEqual">
      <formula>SUM($M$87:$M$88)</formula>
    </cfRule>
  </conditionalFormatting>
  <conditionalFormatting sqref="M84">
    <cfRule type="cellIs" dxfId="415" priority="18" stopIfTrue="1" operator="notEqual">
      <formula>SUM($M$80:$M$83)</formula>
    </cfRule>
  </conditionalFormatting>
  <conditionalFormatting sqref="M62">
    <cfRule type="cellIs" dxfId="414" priority="17" stopIfTrue="1" operator="notEqual">
      <formula>SUM($M$56:$M$61)</formula>
    </cfRule>
  </conditionalFormatting>
  <conditionalFormatting sqref="M15">
    <cfRule type="cellIs" dxfId="413" priority="16" stopIfTrue="1" operator="notEqual">
      <formula>SUM($M$10:$M$14)</formula>
    </cfRule>
  </conditionalFormatting>
  <conditionalFormatting sqref="D98:L98">
    <cfRule type="cellIs" dxfId="412" priority="15" stopIfTrue="1" operator="notEqual">
      <formula>#REF!</formula>
    </cfRule>
  </conditionalFormatting>
  <conditionalFormatting sqref="G64:K64">
    <cfRule type="expression" dxfId="411" priority="14">
      <formula>$R$98&lt;&gt;0</formula>
    </cfRule>
  </conditionalFormatting>
  <conditionalFormatting sqref="O11:P11">
    <cfRule type="expression" dxfId="410" priority="13">
      <formula>#REF!&lt;&gt;$N$11</formula>
    </cfRule>
  </conditionalFormatting>
  <conditionalFormatting sqref="O13">
    <cfRule type="expression" dxfId="409" priority="12">
      <formula>$Q$13&lt;&gt;$N$13</formula>
    </cfRule>
  </conditionalFormatting>
  <conditionalFormatting sqref="O12">
    <cfRule type="expression" dxfId="408" priority="11">
      <formula>$Q$12&lt;&gt;$N$12</formula>
    </cfRule>
  </conditionalFormatting>
  <conditionalFormatting sqref="S91">
    <cfRule type="expression" priority="9" stopIfTrue="1">
      <formula>$N$91&lt;0</formula>
    </cfRule>
    <cfRule type="expression" dxfId="407" priority="10">
      <formula>$T$91&lt;&gt;0</formula>
    </cfRule>
  </conditionalFormatting>
  <conditionalFormatting sqref="S84 S87">
    <cfRule type="expression" dxfId="406" priority="7" stopIfTrue="1">
      <formula>$M$91&gt;=0</formula>
    </cfRule>
    <cfRule type="expression" priority="8">
      <formula>$M$91&lt;0</formula>
    </cfRule>
  </conditionalFormatting>
  <conditionalFormatting sqref="U100:V100 R102 U101 P100:P101 Q100:R100 S100:T102 S105:U106">
    <cfRule type="cellIs" dxfId="405" priority="6" stopIfTrue="1" operator="notEqual">
      <formula>#REF!</formula>
    </cfRule>
  </conditionalFormatting>
  <conditionalFormatting sqref="P76">
    <cfRule type="expression" dxfId="404" priority="5">
      <formula>$P$75&lt;&gt;$M$75</formula>
    </cfRule>
  </conditionalFormatting>
  <conditionalFormatting sqref="Y78">
    <cfRule type="expression" dxfId="403" priority="4">
      <formula>$Y$77&lt;&gt;0</formula>
    </cfRule>
  </conditionalFormatting>
  <conditionalFormatting sqref="Q36:R36">
    <cfRule type="expression" dxfId="402" priority="3">
      <formula>#REF!&lt;&gt;#REF!</formula>
    </cfRule>
  </conditionalFormatting>
  <conditionalFormatting sqref="R35">
    <cfRule type="expression" dxfId="401" priority="2">
      <formula>#REF!&lt;&gt;0</formula>
    </cfRule>
  </conditionalFormatting>
  <conditionalFormatting sqref="Q35">
    <cfRule type="expression" dxfId="400"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1.85546875" style="53" customWidth="1"/>
    <col min="11" max="16384" width="9.140625" style="53"/>
  </cols>
  <sheetData>
    <row r="1" spans="1:7">
      <c r="B1" s="386" t="str">
        <f>'HSSA Chts'!$A$1</f>
        <v>The University of Texas Health Science Center at San Antonio</v>
      </c>
      <c r="D1" s="737" t="s">
        <v>1123</v>
      </c>
    </row>
    <row r="2" spans="1:7">
      <c r="B2" s="386" t="str">
        <f>'Smmy Chts'!$A$2</f>
        <v>For the Year Ended August 31, 2018</v>
      </c>
    </row>
    <row r="3" spans="1:7">
      <c r="B3" s="386" t="str">
        <f>'Smmy Chts'!$A$3</f>
        <v>Source: FY 2018 Annual Financial Report</v>
      </c>
    </row>
    <row r="4" spans="1:7">
      <c r="B4" s="388" t="s">
        <v>51</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IF('HSSA FGD'!$S$83="N/A","FN11.  N/A",$B$14&amp;$B$15&amp;$B$16&amp;$B$17&amp;$B$18&amp;$B$19&amp;$B$20&amp;$B$21&amp;$B$22&amp;$B$23&amp;$B$24)</f>
        <v>FN11: Of the net increase of $24,363,013 approximately $(11.7) million represents revenues received but not year expended. This income is fully committed to program expenditures and capital disbursements. The remaining $36.1 million represents non-expendable funds from unrealized gains and additions to permanent endowments of approximately $26.1 million and $10.0 million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TEXT(IF('HSSA FGD'!$M$91&lt;0,"N/A",'HSSA FGD'!$M$91),"$* #,##0;$* (#,##0)")</f>
        <v>$24,363,013</v>
      </c>
      <c r="C15" s="453"/>
      <c r="F15" s="453"/>
      <c r="G15" s="54"/>
    </row>
    <row r="16" spans="1:7">
      <c r="B16" s="54" t="s">
        <v>611</v>
      </c>
    </row>
    <row r="17" spans="1:6">
      <c r="A17" s="53">
        <v>68</v>
      </c>
      <c r="B17" s="489" t="str">
        <f>IF(ABS('HSSA FGD'!$S$84)&gt;=1000000,TEXT('HSSA FGD'!$S$84/1000000,"$* #,##0.0;$* (#,##0.0)")&amp;" million",IF(ABS('HSSA FGD'!$S$84)&lt;1000,TEXT('HSSA FGD'!$S$84,"$* #,##0;$* (#,##0)"),TEXT('HSSA FGD'!$S$84/1000,"$* #,##0;$* (#,##0)")&amp;" thousand"))</f>
        <v>$(11.7) million</v>
      </c>
      <c r="C17" s="489"/>
      <c r="F17" s="489"/>
    </row>
    <row r="18" spans="1:6">
      <c r="B18" s="54" t="s">
        <v>627</v>
      </c>
    </row>
    <row r="19" spans="1:6">
      <c r="A19" s="53">
        <v>69</v>
      </c>
      <c r="B19" s="53" t="str">
        <f>IF(ABS('HSSA FGD'!$S$85)&gt;=1000000,TEXT('HSSA FGD'!$S$85/1000000,"$* #,##0.0;$* (#,##0.0)")&amp;" million",IF(ABS('HSSA FGD'!$S$85)&lt;1000,TEXT('HSSA FGD'!$S$85,"$* #,##0;$* (#,##0)"),TEXT('HSSA FGD'!$S$85/1000,"$* #,##0;$* (#,##0)")&amp;" thousand"))</f>
        <v>$36.1 million</v>
      </c>
    </row>
    <row r="20" spans="1:6">
      <c r="B20" s="54" t="s">
        <v>612</v>
      </c>
    </row>
    <row r="21" spans="1:6">
      <c r="A21" s="53">
        <v>71</v>
      </c>
      <c r="B21" s="53" t="str">
        <f>IF(ABS('HSSA FGD'!$S$87)&gt;=1000000,TEXT('HSSA FGD'!$S$87/1000000,"$* #,##0.0;$* (#,##0.0)")&amp;" million",IF(ABS('HSSA FGD'!$S$87)&lt;1000,TEXT('HSSA FGD'!$S$87,"$* #,##0;$* (#,##0)"),TEXT('HSSA FGD'!$S$87/1000,"$* #,##0;$* (#,##0)")&amp;" thousand"))</f>
        <v>$26.1 million</v>
      </c>
    </row>
    <row r="22" spans="1:6">
      <c r="B22" s="54" t="s">
        <v>613</v>
      </c>
    </row>
    <row r="23" spans="1:6">
      <c r="A23" s="53">
        <v>73</v>
      </c>
      <c r="B23" s="53" t="str">
        <f>IF(ABS('HSSA FGD'!$S$89)&gt;=1000000,TEXT('HSSA FGD'!$S$89/1000000,"$* #,##0.0;$* (#,##0.0)")&amp;" million",IF(ABS('HSSA FGD'!$S$89)&lt;1000,TEXT('HSSA FGD'!$S$89,"$* #,##0;$* (#,##0)"),TEXT('HSSA FGD'!$S$89/1000,"$* #,##0;$* (#,##0)")&amp;" thousand"))</f>
        <v>$10.0 million</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1.7109375" style="53" customWidth="1"/>
    <col min="3" max="3" width="55" style="53" customWidth="1"/>
    <col min="4" max="4" width="20.140625" style="53" customWidth="1"/>
    <col min="5" max="16384" width="9.140625" style="53"/>
  </cols>
  <sheetData>
    <row r="1" spans="1:5" ht="27.75" customHeight="1">
      <c r="A1" s="146" t="s">
        <v>100</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'MDA Sum'!A9</f>
        <v>State of Texas</v>
      </c>
      <c r="D11" s="61">
        <f>'MDA Sum'!B15</f>
        <v>258497280</v>
      </c>
      <c r="E11" s="673">
        <f>ROUND(D11/$D$17,3)</f>
        <v>0.05</v>
      </c>
    </row>
    <row r="12" spans="1:5" ht="12.95" customHeight="1">
      <c r="B12" s="56"/>
      <c r="C12" s="60" t="str">
        <f>'MDA Sum'!A17</f>
        <v>Student &amp; Parent</v>
      </c>
      <c r="D12" s="61">
        <f>'MDA Sum'!B20</f>
        <v>1113485</v>
      </c>
      <c r="E12" s="673">
        <f t="shared" ref="E12:E15" si="0">ROUND(D12/$D$17,3)</f>
        <v>0</v>
      </c>
    </row>
    <row r="13" spans="1:5" ht="12.95" customHeight="1">
      <c r="B13" s="56"/>
      <c r="C13" s="60" t="str">
        <f>'MDA Sum'!A22</f>
        <v>Federal Government</v>
      </c>
      <c r="D13" s="61">
        <f>'MDA Sum'!B23</f>
        <v>175307623</v>
      </c>
      <c r="E13" s="673">
        <f t="shared" si="0"/>
        <v>3.4000000000000002E-2</v>
      </c>
    </row>
    <row r="14" spans="1:5" ht="12.95" customHeight="1">
      <c r="B14" s="56"/>
      <c r="C14" s="60" t="str">
        <f>'MDA Sum'!A31</f>
        <v>Institutional Resources</v>
      </c>
      <c r="D14" s="61">
        <f>'MDA Sum'!B38</f>
        <v>645817903</v>
      </c>
      <c r="E14" s="673">
        <f t="shared" si="0"/>
        <v>0.125</v>
      </c>
    </row>
    <row r="15" spans="1:5" ht="12.95" customHeight="1">
      <c r="B15" s="56"/>
      <c r="C15" s="62" t="s">
        <v>58</v>
      </c>
      <c r="D15" s="61">
        <f>'MDA Sum'!B29+'MDA Sum'!B26</f>
        <v>4084154519</v>
      </c>
      <c r="E15" s="673">
        <f t="shared" si="0"/>
        <v>0.79100000000000004</v>
      </c>
    </row>
    <row r="16" spans="1:5" ht="12.95" customHeight="1">
      <c r="B16" s="56"/>
      <c r="C16" s="58"/>
      <c r="D16" s="59"/>
    </row>
    <row r="17" spans="1:5" ht="12.95" customHeight="1">
      <c r="B17" s="56"/>
      <c r="C17" s="63" t="s">
        <v>71</v>
      </c>
      <c r="D17" s="64">
        <f>SUM(D11:D16)</f>
        <v>5164890810</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$5,164,890,810</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'MDA Sum'!B10</f>
        <v>210130004</v>
      </c>
      <c r="E53" s="673">
        <f>ROUND(D53/$D$68,3)</f>
        <v>4.1000000000000002E-2</v>
      </c>
    </row>
    <row r="54" spans="1:5" ht="12.95" customHeight="1">
      <c r="C54" s="60" t="s">
        <v>76</v>
      </c>
      <c r="D54" s="61">
        <f>'MDA Sum'!B11</f>
        <v>48367276</v>
      </c>
      <c r="E54" s="673">
        <f t="shared" ref="E54:E67" si="1">ROUND(D54/$D$68,3)</f>
        <v>8.9999999999999993E-3</v>
      </c>
    </row>
    <row r="55" spans="1:5" ht="12.95" customHeight="1">
      <c r="C55" s="907"/>
      <c r="D55" s="61"/>
      <c r="E55" s="673"/>
    </row>
    <row r="56" spans="1:5" ht="12.95" customHeight="1">
      <c r="C56" s="907" t="str">
        <f>'MDA Sum'!A13</f>
        <v>Higher Education Fund</v>
      </c>
      <c r="D56" s="61">
        <f>'MDA Sum'!B13</f>
        <v>0</v>
      </c>
      <c r="E56" s="673">
        <f t="shared" si="1"/>
        <v>0</v>
      </c>
    </row>
    <row r="57" spans="1:5" ht="12.95" customHeight="1">
      <c r="C57" s="907" t="s">
        <v>39</v>
      </c>
      <c r="D57" s="61">
        <f>'MDA Sum'!B14</f>
        <v>0</v>
      </c>
      <c r="E57" s="673">
        <f t="shared" si="1"/>
        <v>0</v>
      </c>
    </row>
    <row r="58" spans="1:5" ht="12.95" customHeight="1">
      <c r="C58" s="60" t="s">
        <v>77</v>
      </c>
      <c r="D58" s="61">
        <f>'MDA Sum'!B20</f>
        <v>1113485</v>
      </c>
      <c r="E58" s="673">
        <f t="shared" si="1"/>
        <v>0</v>
      </c>
    </row>
    <row r="59" spans="1:5" ht="12.95" customHeight="1">
      <c r="C59" s="66" t="s">
        <v>78</v>
      </c>
      <c r="D59" s="61">
        <f>'MDA Sum'!B23</f>
        <v>175307623</v>
      </c>
      <c r="E59" s="673">
        <f t="shared" si="1"/>
        <v>3.4000000000000002E-2</v>
      </c>
    </row>
    <row r="60" spans="1:5" ht="12.95" customHeight="1">
      <c r="C60" s="60" t="s">
        <v>79</v>
      </c>
      <c r="D60" s="61">
        <f>'MDA Sum'!B32</f>
        <v>203066911</v>
      </c>
      <c r="E60" s="673">
        <f t="shared" si="1"/>
        <v>3.9E-2</v>
      </c>
    </row>
    <row r="61" spans="1:5" ht="12.95" customHeight="1">
      <c r="C61" s="907" t="s">
        <v>198</v>
      </c>
      <c r="D61" s="61">
        <f>'MDA Sum'!B33</f>
        <v>0</v>
      </c>
      <c r="E61" s="673">
        <f t="shared" si="1"/>
        <v>0</v>
      </c>
    </row>
    <row r="62" spans="1:5" ht="12.95" customHeight="1">
      <c r="C62" s="60" t="s">
        <v>80</v>
      </c>
      <c r="D62" s="61">
        <f>'MDA Sum'!B34</f>
        <v>274373028</v>
      </c>
      <c r="E62" s="673">
        <f t="shared" si="1"/>
        <v>5.2999999999999999E-2</v>
      </c>
    </row>
    <row r="63" spans="1:5" ht="12.95" customHeight="1">
      <c r="C63" s="60" t="s">
        <v>81</v>
      </c>
      <c r="D63" s="61">
        <f>'MDA Sum'!B35</f>
        <v>2031065</v>
      </c>
      <c r="E63" s="673">
        <f t="shared" si="1"/>
        <v>0</v>
      </c>
    </row>
    <row r="64" spans="1:5" ht="12.95" customHeight="1">
      <c r="C64" s="60" t="s">
        <v>12</v>
      </c>
      <c r="D64" s="61">
        <f>'MDA Sum'!B36</f>
        <v>44292397</v>
      </c>
      <c r="E64" s="673">
        <f t="shared" si="1"/>
        <v>8.9999999999999993E-3</v>
      </c>
    </row>
    <row r="65" spans="1:5" ht="12.95" customHeight="1">
      <c r="C65" s="66" t="s">
        <v>48</v>
      </c>
      <c r="D65" s="61">
        <f>'MDA Sum'!B37</f>
        <v>122054502</v>
      </c>
      <c r="E65" s="673">
        <f t="shared" si="1"/>
        <v>2.4E-2</v>
      </c>
    </row>
    <row r="66" spans="1:5" ht="12.95" customHeight="1">
      <c r="C66" s="66" t="s">
        <v>57</v>
      </c>
      <c r="D66" s="61">
        <f>'MDA Sum'!B26</f>
        <v>403758919</v>
      </c>
      <c r="E66" s="673">
        <f t="shared" si="1"/>
        <v>7.8E-2</v>
      </c>
    </row>
    <row r="67" spans="1:5" ht="12.95" customHeight="1">
      <c r="C67" s="62" t="s">
        <v>58</v>
      </c>
      <c r="D67" s="61">
        <f>'MDA Sum'!B29</f>
        <v>3680395600</v>
      </c>
      <c r="E67" s="673">
        <f t="shared" si="1"/>
        <v>0.71299999999999997</v>
      </c>
    </row>
    <row r="68" spans="1:5" ht="12.95" customHeight="1">
      <c r="C68" s="63" t="s">
        <v>71</v>
      </c>
      <c r="D68" s="64">
        <f>SUM(D53:D67)</f>
        <v>5164890810</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$5,164,890,810</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'MDA Sum'!B42</f>
        <v>77333871</v>
      </c>
      <c r="E102" s="673">
        <f>ROUND(D102/$D$115,3)</f>
        <v>1.9E-2</v>
      </c>
    </row>
    <row r="103" spans="1:5" ht="12.95" customHeight="1">
      <c r="C103" s="68" t="s">
        <v>15</v>
      </c>
      <c r="D103" s="61">
        <f>'MDA Sum'!B43</f>
        <v>750400862</v>
      </c>
      <c r="E103" s="673">
        <f t="shared" ref="E103:E113" si="2">ROUND(D103/$D$115,3)</f>
        <v>0.18</v>
      </c>
    </row>
    <row r="104" spans="1:5" ht="12.95" customHeight="1">
      <c r="C104" s="68" t="s">
        <v>16</v>
      </c>
      <c r="D104" s="61">
        <f>'MDA Sum'!B44</f>
        <v>15550812</v>
      </c>
      <c r="E104" s="673">
        <f t="shared" si="2"/>
        <v>4.0000000000000001E-3</v>
      </c>
    </row>
    <row r="105" spans="1:5" ht="12.95" customHeight="1">
      <c r="C105" s="68" t="s">
        <v>17</v>
      </c>
      <c r="D105" s="61">
        <f>'MDA Sum'!B46</f>
        <v>141247694</v>
      </c>
      <c r="E105" s="673">
        <f t="shared" si="2"/>
        <v>3.4000000000000002E-2</v>
      </c>
    </row>
    <row r="106" spans="1:5" ht="12.95" customHeight="1">
      <c r="C106" s="68" t="s">
        <v>18</v>
      </c>
      <c r="D106" s="61">
        <f>'MDA Sum'!B47</f>
        <v>271580</v>
      </c>
      <c r="E106" s="673">
        <f t="shared" si="2"/>
        <v>0</v>
      </c>
    </row>
    <row r="107" spans="1:5" ht="12.95" customHeight="1">
      <c r="C107" s="68" t="s">
        <v>19</v>
      </c>
      <c r="D107" s="61">
        <f>'MDA Sum'!B48</f>
        <v>132530406</v>
      </c>
      <c r="E107" s="673">
        <f t="shared" si="2"/>
        <v>3.2000000000000001E-2</v>
      </c>
    </row>
    <row r="108" spans="1:5" ht="12.95" customHeight="1">
      <c r="C108" s="68" t="s">
        <v>82</v>
      </c>
      <c r="D108" s="61">
        <f>'MDA Sum'!B49</f>
        <v>207402597</v>
      </c>
      <c r="E108" s="673">
        <f t="shared" si="2"/>
        <v>0.05</v>
      </c>
    </row>
    <row r="109" spans="1:5" ht="12.95" customHeight="1">
      <c r="C109" s="68" t="s">
        <v>83</v>
      </c>
      <c r="D109" s="61">
        <f>'MDA Sum'!B50</f>
        <v>2812722</v>
      </c>
      <c r="E109" s="673">
        <f t="shared" si="2"/>
        <v>1E-3</v>
      </c>
    </row>
    <row r="110" spans="1:5" ht="12.95" customHeight="1">
      <c r="C110" s="68" t="s">
        <v>22</v>
      </c>
      <c r="D110" s="61">
        <f>'MDA Sum'!B51</f>
        <v>22631517</v>
      </c>
      <c r="E110" s="673">
        <f t="shared" si="2"/>
        <v>5.0000000000000001E-3</v>
      </c>
    </row>
    <row r="111" spans="1:5" ht="12.95" customHeight="1">
      <c r="C111" s="69" t="s">
        <v>27</v>
      </c>
      <c r="D111" s="61">
        <f>'MDA Sum'!B52</f>
        <v>81859203</v>
      </c>
      <c r="E111" s="673">
        <f t="shared" si="2"/>
        <v>0.02</v>
      </c>
    </row>
    <row r="112" spans="1:5" ht="12.95" customHeight="1">
      <c r="C112" s="66" t="s">
        <v>49</v>
      </c>
      <c r="D112" s="61">
        <f>'MDA Sum'!B53</f>
        <v>3942822</v>
      </c>
      <c r="E112" s="673">
        <f t="shared" si="2"/>
        <v>1E-3</v>
      </c>
    </row>
    <row r="113" spans="3:5" ht="12.95" customHeight="1">
      <c r="C113" s="62" t="s">
        <v>84</v>
      </c>
      <c r="D113" s="61">
        <f>'MDA Sum'!B45</f>
        <v>2723124887</v>
      </c>
      <c r="E113" s="673">
        <f t="shared" si="2"/>
        <v>0.65500000000000003</v>
      </c>
    </row>
    <row r="114" spans="3:5" ht="12.95" customHeight="1">
      <c r="C114" s="58"/>
      <c r="D114" s="58"/>
      <c r="E114" s="674"/>
    </row>
    <row r="115" spans="3:5" ht="12.95" customHeight="1">
      <c r="C115" s="70" t="s">
        <v>72</v>
      </c>
      <c r="D115" s="64">
        <f>SUM(D102:D114)</f>
        <v>4159108973</v>
      </c>
      <c r="E115" s="674">
        <f>SUM(E102:E113)</f>
        <v>1.0010000000000001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$4,159,108,973</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141" t="str">
        <f>'MDA Chts'!$A$1</f>
        <v>The University of Texas M.D. Anderson Cancer Center</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25554</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378.18</v>
      </c>
      <c r="J6" s="643"/>
      <c r="O6" s="51"/>
    </row>
    <row r="7" spans="1:15">
      <c r="B7" s="79"/>
      <c r="C7" s="5"/>
      <c r="I7" s="683" t="s">
        <v>1114</v>
      </c>
      <c r="J7" s="684"/>
      <c r="O7" s="51"/>
    </row>
    <row r="8" spans="1:15">
      <c r="A8" s="81" t="s">
        <v>74</v>
      </c>
      <c r="B8" s="81"/>
      <c r="C8" s="15"/>
      <c r="I8" s="685">
        <f>VLOOKUP($G$2,FTSELU,11,FALSE)</f>
        <v>1790.7</v>
      </c>
      <c r="J8" s="643"/>
      <c r="O8" s="51"/>
    </row>
    <row r="9" spans="1:15" ht="12.75" customHeight="1" thickBot="1">
      <c r="A9" s="78" t="s">
        <v>0</v>
      </c>
      <c r="B9" s="82"/>
      <c r="C9" s="143" t="s">
        <v>139</v>
      </c>
      <c r="J9" s="643"/>
      <c r="O9" s="51"/>
    </row>
    <row r="10" spans="1:15" ht="12.75" customHeight="1" thickTop="1">
      <c r="A10" s="74" t="s">
        <v>1108</v>
      </c>
      <c r="B10" s="83">
        <f>'MDA FGD'!M10</f>
        <v>210130004</v>
      </c>
      <c r="C10" s="143"/>
      <c r="D10" s="143">
        <f>'MDA FGD'!F10</f>
        <v>0</v>
      </c>
      <c r="E10" s="143"/>
      <c r="F10" s="84">
        <f>B10-(SUM(D10:E10))</f>
        <v>210130004</v>
      </c>
      <c r="G10" s="980" t="s">
        <v>1</v>
      </c>
      <c r="H10" s="981"/>
      <c r="I10" s="686" t="s">
        <v>1115</v>
      </c>
      <c r="J10" s="644" t="s">
        <v>213</v>
      </c>
      <c r="O10" s="51"/>
    </row>
    <row r="11" spans="1:15" ht="12.75" customHeight="1" thickBot="1">
      <c r="A11" s="74" t="s">
        <v>2</v>
      </c>
      <c r="B11" s="86">
        <f>'MDA FGD'!M11</f>
        <v>48367276</v>
      </c>
      <c r="C11" s="83"/>
      <c r="D11" s="284">
        <f>'MDA FGD'!F11</f>
        <v>0</v>
      </c>
      <c r="E11" s="73"/>
      <c r="F11" s="566">
        <f t="shared" ref="F11:F14" si="0">B11-(SUM(D11:E11))</f>
        <v>48367276</v>
      </c>
      <c r="G11" s="987">
        <f>SUM(F10:F11)</f>
        <v>258497280</v>
      </c>
      <c r="H11" s="777"/>
      <c r="I11" s="795" t="s">
        <v>213</v>
      </c>
      <c r="J11" s="645" t="s">
        <v>213</v>
      </c>
      <c r="O11" s="51"/>
    </row>
    <row r="12" spans="1:15" ht="12.75" hidden="1" customHeight="1" thickTop="1" thickBot="1">
      <c r="A12" s="74" t="s">
        <v>1345</v>
      </c>
      <c r="B12" s="86"/>
      <c r="C12" s="83"/>
      <c r="D12" s="284"/>
      <c r="E12" s="73"/>
      <c r="F12" s="567"/>
      <c r="J12" s="645"/>
      <c r="O12" s="568"/>
    </row>
    <row r="13" spans="1:15" ht="12.75" customHeight="1" thickTop="1">
      <c r="A13" s="74" t="s">
        <v>1298</v>
      </c>
      <c r="B13" s="86">
        <f>'MDA FGD'!M13</f>
        <v>0</v>
      </c>
      <c r="C13" s="83"/>
      <c r="D13" s="284">
        <f>'MDA FGD'!F13</f>
        <v>0</v>
      </c>
      <c r="E13" s="73"/>
      <c r="F13" s="786">
        <f t="shared" si="0"/>
        <v>0</v>
      </c>
      <c r="G13" s="780" t="s">
        <v>86</v>
      </c>
      <c r="H13" s="787"/>
      <c r="I13" s="731" t="s">
        <v>1116</v>
      </c>
      <c r="J13" s="645" t="s">
        <v>213</v>
      </c>
      <c r="O13" s="51"/>
    </row>
    <row r="14" spans="1:15" ht="12.75" customHeight="1" thickBot="1">
      <c r="A14" s="74" t="s">
        <v>46</v>
      </c>
      <c r="B14" s="86">
        <f>'MDA FGD'!M14</f>
        <v>0</v>
      </c>
      <c r="C14" s="83"/>
      <c r="D14" s="284">
        <f>'MDA FGD'!F14</f>
        <v>0</v>
      </c>
      <c r="E14" s="73"/>
      <c r="F14" s="567">
        <f t="shared" si="0"/>
        <v>0</v>
      </c>
      <c r="G14" s="687">
        <f>SUM(F13:F14)</f>
        <v>0</v>
      </c>
      <c r="H14" s="788"/>
      <c r="I14" s="795" t="s">
        <v>213</v>
      </c>
      <c r="J14" s="689" t="s">
        <v>213</v>
      </c>
      <c r="O14" s="51"/>
    </row>
    <row r="15" spans="1:15" ht="12.75" customHeight="1" thickTop="1">
      <c r="A15" s="87" t="s">
        <v>3</v>
      </c>
      <c r="B15" s="88">
        <f>SUM(B10:B14)</f>
        <v>258497280</v>
      </c>
      <c r="C15" s="88"/>
      <c r="D15" s="88">
        <f>SUM(D10:D14)</f>
        <v>0</v>
      </c>
      <c r="E15" s="88">
        <f>SUM(E10:E14)</f>
        <v>0</v>
      </c>
      <c r="F15" s="646">
        <f>SUM(F10:F14)</f>
        <v>258497280</v>
      </c>
      <c r="I15" s="785"/>
      <c r="J15" s="669" t="s">
        <v>213</v>
      </c>
      <c r="O15" s="51"/>
    </row>
    <row r="16" spans="1:15">
      <c r="C16" s="74"/>
      <c r="J16" s="643"/>
      <c r="O16" s="51"/>
    </row>
    <row r="17" spans="1:15" ht="12.75" customHeight="1">
      <c r="A17" s="78" t="s">
        <v>4</v>
      </c>
      <c r="C17" s="74"/>
      <c r="J17" s="643"/>
      <c r="O17" s="51"/>
    </row>
    <row r="18" spans="1:15">
      <c r="A18" s="74" t="s">
        <v>37</v>
      </c>
      <c r="B18" s="83">
        <f>'MDA FGD'!M29</f>
        <v>981336</v>
      </c>
      <c r="C18" s="83"/>
      <c r="D18" s="143">
        <f>'MDA FGD'!$F$29</f>
        <v>0</v>
      </c>
      <c r="E18" s="143"/>
      <c r="F18" s="143">
        <f t="shared" ref="F18:F19" si="1">B18-(SUM(D18:E18))</f>
        <v>981336</v>
      </c>
      <c r="G18" s="351"/>
      <c r="H18" s="351"/>
      <c r="I18" s="351"/>
      <c r="J18" s="644" t="s">
        <v>213</v>
      </c>
      <c r="O18" s="51"/>
    </row>
    <row r="19" spans="1:15" ht="13.5" thickBot="1">
      <c r="A19" s="74" t="s">
        <v>38</v>
      </c>
      <c r="B19" s="86">
        <f>'MDA FGD'!M42</f>
        <v>132149</v>
      </c>
      <c r="C19" s="83"/>
      <c r="D19" s="73">
        <f>'MDA FGD'!$F$42</f>
        <v>0</v>
      </c>
      <c r="E19" s="73"/>
      <c r="F19" s="73">
        <f t="shared" si="1"/>
        <v>132149</v>
      </c>
      <c r="G19" s="351"/>
      <c r="H19" s="351"/>
      <c r="I19" s="351"/>
      <c r="J19" s="645" t="s">
        <v>213</v>
      </c>
      <c r="O19" s="51"/>
    </row>
    <row r="20" spans="1:15" ht="14.25" thickTop="1" thickBot="1">
      <c r="A20" s="87" t="s">
        <v>5</v>
      </c>
      <c r="B20" s="88">
        <f>SUM(B18:B19)</f>
        <v>1113485</v>
      </c>
      <c r="C20" s="88"/>
      <c r="D20" s="647">
        <f>SUM(D18:D19)</f>
        <v>0</v>
      </c>
      <c r="E20" s="648">
        <f>SUM(E18:E19)</f>
        <v>0</v>
      </c>
      <c r="F20" s="690">
        <f>SUM(F18:F19)</f>
        <v>1113485</v>
      </c>
      <c r="G20" s="650" t="s">
        <v>87</v>
      </c>
      <c r="H20" s="569"/>
      <c r="I20" s="570"/>
      <c r="J20" s="651" t="s">
        <v>213</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'MDA FGD'!M47</f>
        <v>175307623</v>
      </c>
      <c r="C23" s="140"/>
      <c r="D23" s="647">
        <f>'MDA FGD'!F47</f>
        <v>0</v>
      </c>
      <c r="E23" s="648"/>
      <c r="F23" s="690">
        <f>B23-(SUM(D23:E23))</f>
        <v>175307623</v>
      </c>
      <c r="G23" s="652" t="s">
        <v>1162</v>
      </c>
      <c r="H23" s="569"/>
      <c r="I23" s="570"/>
      <c r="J23" s="668" t="s">
        <v>213</v>
      </c>
      <c r="O23" s="51"/>
    </row>
    <row r="24" spans="1:15" ht="13.5" thickTop="1">
      <c r="C24" s="74"/>
      <c r="J24" s="643"/>
      <c r="O24" s="51"/>
    </row>
    <row r="25" spans="1:15">
      <c r="A25" s="78" t="s">
        <v>57</v>
      </c>
      <c r="C25" s="74"/>
      <c r="D25" s="73"/>
      <c r="H25" s="351"/>
      <c r="J25" s="643"/>
      <c r="O25" s="51"/>
    </row>
    <row r="26" spans="1:15">
      <c r="A26" s="87" t="s">
        <v>56</v>
      </c>
      <c r="B26" s="88">
        <f>'MDA FGD'!M50</f>
        <v>403758919</v>
      </c>
      <c r="C26" s="140"/>
      <c r="D26" s="88">
        <f>'MDA FGD'!F50</f>
        <v>0</v>
      </c>
      <c r="E26" s="88">
        <f>B26-D26</f>
        <v>403758919</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'MDA FGD'!M53</f>
        <v>3680395600</v>
      </c>
      <c r="C29" s="140"/>
      <c r="D29" s="88">
        <f>'MDA FGD'!F53</f>
        <v>0</v>
      </c>
      <c r="E29" s="88">
        <f>B29-D29</f>
        <v>3680395600</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'MDA FGD'!M56</f>
        <v>203066911</v>
      </c>
      <c r="C32" s="83"/>
      <c r="D32" s="143">
        <f>'MDA FGD'!F56</f>
        <v>0</v>
      </c>
      <c r="E32" s="143"/>
      <c r="F32" s="143">
        <f t="shared" ref="F32:F37" si="4">B32-(SUM(D32:E32))</f>
        <v>203066911</v>
      </c>
      <c r="G32" s="351"/>
      <c r="H32" s="351"/>
      <c r="I32" s="351"/>
      <c r="J32" s="644" t="s">
        <v>213</v>
      </c>
      <c r="O32" s="51"/>
    </row>
    <row r="33" spans="1:30">
      <c r="A33" s="74" t="s">
        <v>9</v>
      </c>
      <c r="B33" s="86">
        <f>'MDA FGD'!M57</f>
        <v>0</v>
      </c>
      <c r="C33" s="83"/>
      <c r="D33" s="284">
        <f>'MDA FGD'!F57</f>
        <v>0</v>
      </c>
      <c r="E33" s="73"/>
      <c r="F33" s="73">
        <f t="shared" si="4"/>
        <v>0</v>
      </c>
      <c r="G33" s="351"/>
      <c r="H33" s="351"/>
      <c r="I33" s="351"/>
      <c r="J33" s="645" t="s">
        <v>213</v>
      </c>
      <c r="O33" s="51"/>
    </row>
    <row r="34" spans="1:30" ht="13.5" thickBot="1">
      <c r="A34" s="74" t="s">
        <v>10</v>
      </c>
      <c r="B34" s="86">
        <f>'MDA FGD'!M58</f>
        <v>274373028</v>
      </c>
      <c r="C34" s="83"/>
      <c r="D34" s="284">
        <f>'MDA FGD'!F58</f>
        <v>0</v>
      </c>
      <c r="E34" s="73"/>
      <c r="F34" s="73">
        <f t="shared" si="4"/>
        <v>274373028</v>
      </c>
      <c r="G34" s="351"/>
      <c r="H34" s="351"/>
      <c r="I34" s="351"/>
      <c r="J34" s="645" t="s">
        <v>213</v>
      </c>
      <c r="O34" s="51"/>
    </row>
    <row r="35" spans="1:30" ht="13.5" thickBot="1">
      <c r="A35" s="74" t="s">
        <v>11</v>
      </c>
      <c r="B35" s="86">
        <f>'MDA FGD'!M59</f>
        <v>2031065</v>
      </c>
      <c r="C35" s="83"/>
      <c r="D35" s="284">
        <f>'MDA FGD'!F59</f>
        <v>0</v>
      </c>
      <c r="E35" s="73"/>
      <c r="F35" s="73">
        <f t="shared" si="4"/>
        <v>2031065</v>
      </c>
      <c r="G35" s="351"/>
      <c r="H35" s="351"/>
      <c r="I35" s="351"/>
      <c r="J35" s="645" t="s">
        <v>213</v>
      </c>
      <c r="K35" s="1262"/>
      <c r="L35" s="1245"/>
      <c r="M35" s="1245"/>
      <c r="N35" s="1245"/>
      <c r="O35" s="1246"/>
    </row>
    <row r="36" spans="1:30" ht="13.5" thickBot="1">
      <c r="A36" s="92" t="s">
        <v>1362</v>
      </c>
      <c r="B36" s="86">
        <f>'MDA FGD'!M60</f>
        <v>44292397</v>
      </c>
      <c r="C36" s="83"/>
      <c r="D36" s="284">
        <f>'MDA FGD'!F60</f>
        <v>44292397</v>
      </c>
      <c r="E36" s="73"/>
      <c r="F36" s="73">
        <f t="shared" si="4"/>
        <v>0</v>
      </c>
      <c r="G36" s="351"/>
      <c r="H36" s="351"/>
      <c r="I36" s="351"/>
      <c r="J36" s="645" t="s">
        <v>213</v>
      </c>
      <c r="K36" s="1262" t="s">
        <v>1017</v>
      </c>
      <c r="L36" s="1245"/>
      <c r="M36" s="1245"/>
      <c r="N36" s="1245"/>
      <c r="O36" s="1246"/>
    </row>
    <row r="37" spans="1:30" ht="13.5" customHeight="1" thickBot="1">
      <c r="A37" s="93" t="s">
        <v>41</v>
      </c>
      <c r="B37" s="86">
        <f>'MDA FGD'!M61</f>
        <v>122054502</v>
      </c>
      <c r="C37" s="83"/>
      <c r="D37" s="284">
        <f>'MDA FGD'!F61</f>
        <v>0</v>
      </c>
      <c r="E37" s="73"/>
      <c r="F37" s="73">
        <f t="shared" si="4"/>
        <v>122054502</v>
      </c>
      <c r="G37" s="24"/>
      <c r="H37" s="24"/>
      <c r="I37" s="577"/>
      <c r="J37" s="645" t="s">
        <v>213</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645817903</v>
      </c>
      <c r="C38" s="88"/>
      <c r="D38" s="291">
        <f>SUM(D32:D37)</f>
        <v>44292397</v>
      </c>
      <c r="E38" s="291">
        <f>SUM(E32:E37)</f>
        <v>0</v>
      </c>
      <c r="F38" s="692">
        <f>SUM(F32:F37)</f>
        <v>601525506</v>
      </c>
      <c r="G38" s="1259" t="s">
        <v>8</v>
      </c>
      <c r="H38" s="1260"/>
      <c r="I38" s="693" t="s">
        <v>1118</v>
      </c>
      <c r="J38" s="653" t="s">
        <v>213</v>
      </c>
      <c r="K38" s="1264"/>
      <c r="L38" s="1264"/>
      <c r="M38" s="1264"/>
      <c r="N38" s="1264" t="s">
        <v>1021</v>
      </c>
      <c r="O38" s="1264" t="s">
        <v>1022</v>
      </c>
    </row>
    <row r="39" spans="1:30" ht="13.5" thickTop="1">
      <c r="A39" s="94" t="s">
        <v>71</v>
      </c>
      <c r="B39" s="47">
        <f>B15+B20+B23+B26+B29+B38</f>
        <v>5164890810</v>
      </c>
      <c r="C39" s="139"/>
      <c r="D39" s="47">
        <f>D15+D20+D23+D26+D29+D38</f>
        <v>44292397</v>
      </c>
      <c r="E39" s="47">
        <f>E15+E20+E23+E26+E29+E38</f>
        <v>4084154519</v>
      </c>
      <c r="F39" s="778">
        <f>F38+F23+F20+F15</f>
        <v>1036443894</v>
      </c>
      <c r="G39" s="1261" t="s">
        <v>89</v>
      </c>
      <c r="H39" s="1261"/>
      <c r="I39" s="795" t="s">
        <v>213</v>
      </c>
      <c r="J39" s="654" t="s">
        <v>213</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1036443894</v>
      </c>
      <c r="I41" s="795" t="s">
        <v>213</v>
      </c>
      <c r="K41" s="571"/>
      <c r="L41" s="571"/>
      <c r="M41" s="571"/>
      <c r="N41" s="571"/>
      <c r="O41" s="571"/>
    </row>
    <row r="42" spans="1:30" ht="13.5" thickTop="1">
      <c r="A42" s="95" t="s">
        <v>14</v>
      </c>
      <c r="B42" s="83">
        <f>'MDA FGD'!M65</f>
        <v>77333871</v>
      </c>
      <c r="C42" s="83"/>
      <c r="D42" s="143">
        <f>'MDA FGD'!F65</f>
        <v>0</v>
      </c>
      <c r="E42" s="143"/>
      <c r="F42" s="143">
        <f t="shared" ref="F42" si="5">B42-(SUM(D42:E42))</f>
        <v>77333871</v>
      </c>
      <c r="G42" s="351"/>
      <c r="H42" s="1048" t="s">
        <v>1394</v>
      </c>
      <c r="I42" s="1047">
        <f>ROUND(F42/$C$6,0)</f>
        <v>204490</v>
      </c>
      <c r="J42" s="351" t="s">
        <v>669</v>
      </c>
      <c r="K42" s="143">
        <f>F42</f>
        <v>77333871</v>
      </c>
      <c r="L42" s="143">
        <f>K42</f>
        <v>77333871</v>
      </c>
      <c r="M42" s="143"/>
      <c r="N42" s="143"/>
      <c r="O42" s="143"/>
    </row>
    <row r="43" spans="1:30">
      <c r="A43" s="95" t="s">
        <v>15</v>
      </c>
      <c r="B43" s="86">
        <f>'MDA FGD'!M66</f>
        <v>750400862</v>
      </c>
      <c r="C43" s="83"/>
      <c r="D43" s="357">
        <f>'MDA FGD'!F66</f>
        <v>0</v>
      </c>
      <c r="E43" s="73"/>
      <c r="F43" s="73">
        <f t="shared" ref="F43:F44" si="6">B43-(SUM(D43:E43))</f>
        <v>750400862</v>
      </c>
      <c r="G43" s="351"/>
      <c r="H43" s="351"/>
      <c r="J43" s="351" t="s">
        <v>1093</v>
      </c>
      <c r="K43" s="357">
        <f>F43</f>
        <v>750400862</v>
      </c>
      <c r="L43" s="357">
        <f>K43</f>
        <v>750400862</v>
      </c>
      <c r="M43" s="357"/>
      <c r="N43" s="357"/>
      <c r="O43" s="357"/>
    </row>
    <row r="44" spans="1:30">
      <c r="A44" s="95" t="s">
        <v>16</v>
      </c>
      <c r="B44" s="86">
        <f>'MDA FGD'!M67</f>
        <v>15550812</v>
      </c>
      <c r="C44" s="83"/>
      <c r="D44" s="357">
        <f>'MDA FGD'!F67</f>
        <v>0</v>
      </c>
      <c r="E44" s="284">
        <f>B44-D44</f>
        <v>15550812</v>
      </c>
      <c r="F44" s="73">
        <f t="shared" si="6"/>
        <v>0</v>
      </c>
      <c r="G44" s="351"/>
      <c r="H44" s="351"/>
      <c r="I44" s="351"/>
      <c r="J44" s="351" t="s">
        <v>1094</v>
      </c>
      <c r="K44" s="670"/>
      <c r="L44" s="671"/>
      <c r="M44" s="671" t="s">
        <v>1095</v>
      </c>
      <c r="N44" s="671"/>
      <c r="O44" s="672"/>
    </row>
    <row r="45" spans="1:30">
      <c r="A45" s="96" t="s">
        <v>55</v>
      </c>
      <c r="B45" s="86">
        <f>'MDA FGD'!M68</f>
        <v>2723124887</v>
      </c>
      <c r="C45" s="83"/>
      <c r="D45" s="357">
        <f>'MDA FGD'!F68</f>
        <v>0</v>
      </c>
      <c r="E45" s="284">
        <f>B45-D45</f>
        <v>2723124887</v>
      </c>
      <c r="F45" s="73">
        <f t="shared" ref="F45" si="7">B45-(SUM(D45:E45))</f>
        <v>0</v>
      </c>
      <c r="G45" s="776"/>
      <c r="J45" s="51" t="s">
        <v>1096</v>
      </c>
      <c r="K45" s="1266" t="s">
        <v>1095</v>
      </c>
      <c r="L45" s="1267"/>
      <c r="M45" s="1267"/>
      <c r="N45" s="1267"/>
      <c r="O45" s="1268"/>
    </row>
    <row r="46" spans="1:30">
      <c r="A46" s="95" t="s">
        <v>17</v>
      </c>
      <c r="B46" s="86">
        <f>'MDA FGD'!M69</f>
        <v>141247694</v>
      </c>
      <c r="C46" s="83"/>
      <c r="D46" s="357">
        <f>'MDA FGD'!F69</f>
        <v>0</v>
      </c>
      <c r="E46" s="73"/>
      <c r="F46" s="73">
        <f t="shared" ref="F46:F53" si="8">B46-(SUM(D46:E46))</f>
        <v>141247694</v>
      </c>
      <c r="G46" s="351"/>
      <c r="H46" s="1048" t="s">
        <v>1395</v>
      </c>
      <c r="I46" s="1047">
        <f>ROUND(F46/$C$6,0)</f>
        <v>373493</v>
      </c>
      <c r="J46" s="351" t="s">
        <v>1097</v>
      </c>
      <c r="K46" s="357">
        <f t="shared" ref="K46:K50" si="9">F46</f>
        <v>141247694</v>
      </c>
      <c r="L46" s="357">
        <f>K46</f>
        <v>141247694</v>
      </c>
      <c r="M46" s="357"/>
      <c r="N46" s="357"/>
      <c r="O46" s="357"/>
    </row>
    <row r="47" spans="1:30">
      <c r="A47" s="95" t="s">
        <v>18</v>
      </c>
      <c r="B47" s="86">
        <f>'MDA FGD'!M70</f>
        <v>271580</v>
      </c>
      <c r="C47" s="83"/>
      <c r="D47" s="357">
        <f>'MDA FGD'!F70</f>
        <v>0</v>
      </c>
      <c r="E47" s="73"/>
      <c r="F47" s="73">
        <f t="shared" si="8"/>
        <v>271580</v>
      </c>
      <c r="G47" s="351"/>
      <c r="H47" s="351"/>
      <c r="I47" s="351"/>
      <c r="J47" s="351" t="s">
        <v>1098</v>
      </c>
      <c r="K47" s="357">
        <f t="shared" si="9"/>
        <v>271580</v>
      </c>
      <c r="L47" s="357"/>
      <c r="M47" s="357">
        <f>K47</f>
        <v>271580</v>
      </c>
      <c r="N47" s="357"/>
      <c r="O47" s="357"/>
    </row>
    <row r="48" spans="1:30">
      <c r="A48" s="95" t="s">
        <v>19</v>
      </c>
      <c r="B48" s="86">
        <f>'MDA FGD'!M71</f>
        <v>132530406</v>
      </c>
      <c r="C48" s="83"/>
      <c r="D48" s="357">
        <f>'MDA FGD'!F71</f>
        <v>0</v>
      </c>
      <c r="E48" s="73"/>
      <c r="F48" s="73">
        <f t="shared" si="8"/>
        <v>132530406</v>
      </c>
      <c r="G48" s="351"/>
      <c r="H48" s="1048" t="s">
        <v>1396</v>
      </c>
      <c r="I48" s="1047">
        <f>ROUND(F48/$C$6,0)</f>
        <v>350443</v>
      </c>
      <c r="J48" s="351" t="s">
        <v>675</v>
      </c>
      <c r="K48" s="357">
        <f t="shared" si="9"/>
        <v>132530406</v>
      </c>
      <c r="L48" s="357"/>
      <c r="M48" s="357"/>
      <c r="N48" s="357">
        <f>K48</f>
        <v>132530406</v>
      </c>
      <c r="O48" s="357"/>
    </row>
    <row r="49" spans="1:30">
      <c r="A49" s="95" t="s">
        <v>20</v>
      </c>
      <c r="B49" s="86">
        <f>'MDA FGD'!M72</f>
        <v>207402597</v>
      </c>
      <c r="C49" s="83"/>
      <c r="D49" s="357">
        <f>'MDA FGD'!F72</f>
        <v>0</v>
      </c>
      <c r="E49" s="73"/>
      <c r="F49" s="73">
        <f t="shared" si="8"/>
        <v>207402597</v>
      </c>
      <c r="G49" s="351"/>
      <c r="H49" s="351"/>
      <c r="I49" s="351"/>
      <c r="J49" s="351" t="s">
        <v>676</v>
      </c>
      <c r="K49" s="357">
        <f t="shared" si="9"/>
        <v>207402597</v>
      </c>
      <c r="L49" s="357"/>
      <c r="M49" s="357"/>
      <c r="N49" s="357">
        <f>K49</f>
        <v>207402597</v>
      </c>
      <c r="O49" s="357"/>
    </row>
    <row r="50" spans="1:30">
      <c r="A50" s="95" t="s">
        <v>21</v>
      </c>
      <c r="B50" s="86">
        <f>'MDA FGD'!M73</f>
        <v>2812722</v>
      </c>
      <c r="C50" s="83"/>
      <c r="D50" s="357">
        <f>'MDA FGD'!F73</f>
        <v>0</v>
      </c>
      <c r="E50" s="73"/>
      <c r="F50" s="73">
        <f t="shared" si="8"/>
        <v>2812722</v>
      </c>
      <c r="G50" s="351"/>
      <c r="H50" s="351"/>
      <c r="I50" s="351"/>
      <c r="J50" s="351" t="s">
        <v>1099</v>
      </c>
      <c r="K50" s="357">
        <f t="shared" si="9"/>
        <v>2812722</v>
      </c>
      <c r="L50" s="357"/>
      <c r="M50" s="357">
        <f>K50</f>
        <v>2812722</v>
      </c>
      <c r="N50" s="357"/>
      <c r="O50" s="357"/>
    </row>
    <row r="51" spans="1:30">
      <c r="A51" s="95" t="s">
        <v>1363</v>
      </c>
      <c r="B51" s="86">
        <f>'MDA FGD'!M74</f>
        <v>22631517</v>
      </c>
      <c r="C51" s="83"/>
      <c r="D51" s="657">
        <f>B51</f>
        <v>22631517</v>
      </c>
      <c r="E51" s="73"/>
      <c r="F51" s="73">
        <f t="shared" si="8"/>
        <v>0</v>
      </c>
      <c r="G51" s="351"/>
      <c r="H51" s="351"/>
      <c r="I51" s="351"/>
      <c r="J51" s="351" t="s">
        <v>660</v>
      </c>
      <c r="K51" s="670"/>
      <c r="L51" s="671"/>
      <c r="M51" s="671" t="s">
        <v>1095</v>
      </c>
      <c r="N51" s="671"/>
      <c r="O51" s="672"/>
    </row>
    <row r="52" spans="1:30">
      <c r="A52" s="95" t="s">
        <v>65</v>
      </c>
      <c r="B52" s="86">
        <f>'MDA FGD'!M75</f>
        <v>81859203</v>
      </c>
      <c r="C52" s="83"/>
      <c r="D52" s="357">
        <f>'MDA FGD'!F75</f>
        <v>304227</v>
      </c>
      <c r="E52" s="73"/>
      <c r="F52" s="73">
        <f t="shared" si="8"/>
        <v>81554976</v>
      </c>
      <c r="G52" s="351"/>
      <c r="J52" s="351" t="s">
        <v>1100</v>
      </c>
      <c r="K52" s="357">
        <f t="shared" ref="K52:K53" si="10">F52</f>
        <v>81554976</v>
      </c>
      <c r="L52" s="357"/>
      <c r="M52" s="357"/>
      <c r="N52" s="357"/>
      <c r="O52" s="357">
        <f>K52</f>
        <v>81554976</v>
      </c>
    </row>
    <row r="53" spans="1:30" ht="13.5" thickBot="1">
      <c r="A53" s="74" t="s">
        <v>47</v>
      </c>
      <c r="B53" s="86">
        <f>'MDA FGD'!M76</f>
        <v>3942822</v>
      </c>
      <c r="C53" s="83"/>
      <c r="D53" s="357">
        <f>'MDA FGD'!F76</f>
        <v>0</v>
      </c>
      <c r="E53" s="73"/>
      <c r="F53" s="73">
        <f t="shared" si="8"/>
        <v>3942822</v>
      </c>
      <c r="G53" s="24"/>
      <c r="H53" s="1048" t="s">
        <v>1397</v>
      </c>
      <c r="I53" s="1047">
        <f>ROUND(SUM(F43+F47+F49+F50+F52+F53)/$C$6,0)</f>
        <v>2766898</v>
      </c>
      <c r="J53" s="572" t="s">
        <v>1022</v>
      </c>
      <c r="K53" s="357">
        <f t="shared" si="10"/>
        <v>3942822</v>
      </c>
      <c r="L53" s="573"/>
      <c r="M53" s="573"/>
      <c r="N53" s="573"/>
      <c r="O53" s="357">
        <f>K53</f>
        <v>3942822</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4159108973</v>
      </c>
      <c r="C54" s="48"/>
      <c r="D54" s="48">
        <f>SUM(D42:D53)</f>
        <v>22935744</v>
      </c>
      <c r="E54" s="698">
        <f>SUM(E43:E53)</f>
        <v>2738675699</v>
      </c>
      <c r="F54" s="649">
        <f>SUM(F42:F53)</f>
        <v>1397497530</v>
      </c>
      <c r="G54" s="1279" t="s">
        <v>1121</v>
      </c>
      <c r="H54" s="1280"/>
      <c r="I54" s="697" t="s">
        <v>1398</v>
      </c>
      <c r="J54" s="572" t="s">
        <v>1101</v>
      </c>
      <c r="K54" s="574">
        <f>SUM(K42:K53)</f>
        <v>1397497530</v>
      </c>
      <c r="L54" s="574">
        <f t="shared" ref="L54:O54" si="11">SUM(L42:L53)</f>
        <v>968982427</v>
      </c>
      <c r="M54" s="574">
        <f t="shared" si="11"/>
        <v>3084302</v>
      </c>
      <c r="N54" s="574">
        <f t="shared" si="11"/>
        <v>339933003</v>
      </c>
      <c r="O54" s="574">
        <f t="shared" si="11"/>
        <v>85497798</v>
      </c>
    </row>
    <row r="55" spans="1:30" ht="14.25" customHeight="1" thickTop="1" thickBot="1">
      <c r="A55" s="92"/>
      <c r="C55" s="74"/>
      <c r="F55" s="575"/>
      <c r="G55" s="1281"/>
      <c r="H55" s="1282"/>
      <c r="I55" s="699">
        <f>ROUND(F54/C6,0)</f>
        <v>3695324</v>
      </c>
      <c r="J55" s="1258" t="s">
        <v>1102</v>
      </c>
      <c r="K55" s="573"/>
      <c r="L55" s="573"/>
      <c r="M55" s="573"/>
      <c r="N55" s="573"/>
      <c r="O55" s="573"/>
    </row>
    <row r="56" spans="1:30" ht="16.5" customHeight="1" thickBot="1">
      <c r="A56" s="78" t="s">
        <v>23</v>
      </c>
      <c r="C56" s="74"/>
      <c r="F56" s="576"/>
      <c r="G56" s="1283"/>
      <c r="H56" s="1284"/>
      <c r="I56" s="693" t="s">
        <v>1399</v>
      </c>
      <c r="J56" s="1258"/>
      <c r="K56" s="700" t="s">
        <v>213</v>
      </c>
      <c r="L56" s="700" t="s">
        <v>213</v>
      </c>
      <c r="M56" s="700" t="s">
        <v>213</v>
      </c>
      <c r="N56" s="700" t="s">
        <v>213</v>
      </c>
      <c r="O56" s="700" t="s">
        <v>213</v>
      </c>
      <c r="P56" s="89"/>
      <c r="Q56" s="89"/>
      <c r="R56" s="89"/>
      <c r="S56" s="89"/>
      <c r="T56" s="89"/>
      <c r="U56" s="89"/>
      <c r="V56" s="89"/>
      <c r="W56" s="89"/>
      <c r="X56" s="89"/>
      <c r="Y56" s="89"/>
      <c r="Z56" s="89"/>
      <c r="AA56" s="89"/>
      <c r="AB56" s="89"/>
      <c r="AC56" s="89"/>
      <c r="AD56" s="89"/>
    </row>
    <row r="57" spans="1:30" ht="13.5" thickTop="1">
      <c r="A57" s="74" t="s">
        <v>66</v>
      </c>
      <c r="B57" s="86">
        <f>'MDA FGD'!M80</f>
        <v>-290306993</v>
      </c>
      <c r="C57" s="83"/>
      <c r="D57" s="143">
        <f>'MDA FGD'!F80</f>
        <v>0</v>
      </c>
      <c r="E57" s="143"/>
      <c r="F57" s="1045">
        <f t="shared" ref="F57:F60" si="12">B57-(SUM(D57:E57))</f>
        <v>-290306993</v>
      </c>
      <c r="G57" s="780"/>
      <c r="I57" s="696">
        <f>ROUND($F$54/$I$8,0)</f>
        <v>780420</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'MDA FGD'!M81</f>
        <v>54971067</v>
      </c>
      <c r="C58" s="83"/>
      <c r="D58" s="285">
        <f>'MDA FGD'!F81</f>
        <v>-743</v>
      </c>
      <c r="E58" s="82"/>
      <c r="F58" s="73">
        <f t="shared" si="12"/>
        <v>54971810</v>
      </c>
      <c r="G58" s="351"/>
      <c r="J58" s="351"/>
      <c r="K58" s="578"/>
      <c r="L58" s="578"/>
      <c r="M58" s="578"/>
      <c r="N58" s="578"/>
      <c r="O58" s="578"/>
    </row>
    <row r="59" spans="1:30">
      <c r="A59" s="98" t="s">
        <v>52</v>
      </c>
      <c r="B59" s="86">
        <f>'MDA FGD'!M82</f>
        <v>55322379</v>
      </c>
      <c r="C59" s="83"/>
      <c r="D59" s="285">
        <f>'MDA FGD'!F82</f>
        <v>0</v>
      </c>
      <c r="E59" s="82"/>
      <c r="F59" s="73">
        <f t="shared" si="12"/>
        <v>55322379</v>
      </c>
      <c r="G59" s="24"/>
      <c r="J59" s="658"/>
      <c r="K59" s="658"/>
      <c r="L59" s="658"/>
      <c r="M59" s="658"/>
      <c r="N59" s="658"/>
      <c r="O59" s="658"/>
    </row>
    <row r="60" spans="1:30" ht="12" customHeight="1">
      <c r="A60" s="74" t="s">
        <v>43</v>
      </c>
      <c r="B60" s="86">
        <f>'MDA FGD'!M83</f>
        <v>-88726782</v>
      </c>
      <c r="C60" s="83"/>
      <c r="D60" s="285">
        <f>'MDA FGD'!F83</f>
        <v>-9508534</v>
      </c>
      <c r="E60" s="82"/>
      <c r="F60" s="73">
        <f t="shared" si="12"/>
        <v>-79218248</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-268740329</v>
      </c>
      <c r="C61" s="88"/>
      <c r="D61" s="88">
        <f>SUM(D57:D60)</f>
        <v>-9509277</v>
      </c>
      <c r="E61" s="88">
        <f>SUM(E57:E60)</f>
        <v>0</v>
      </c>
      <c r="F61" s="99">
        <f>SUM(F57:F60)</f>
        <v>-259231052</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'MDA FGD'!M87</f>
        <v>64278312</v>
      </c>
      <c r="C64" s="83"/>
      <c r="D64" s="143">
        <f>'MDA FGD'!F87</f>
        <v>0</v>
      </c>
      <c r="E64" s="143"/>
      <c r="F64" s="143">
        <f t="shared" ref="F64:F65" si="13">B64-(SUM(D64:E64))</f>
        <v>64278312</v>
      </c>
      <c r="O64" s="51"/>
    </row>
    <row r="65" spans="1:30">
      <c r="A65" s="74" t="s">
        <v>45</v>
      </c>
      <c r="B65" s="86">
        <f>'MDA FGD'!M88</f>
        <v>11026183</v>
      </c>
      <c r="C65" s="83"/>
      <c r="D65" s="285">
        <f>'MDA FGD'!F88</f>
        <v>0</v>
      </c>
      <c r="E65" s="82"/>
      <c r="F65" s="73">
        <f t="shared" si="13"/>
        <v>11026183</v>
      </c>
      <c r="O65" s="51"/>
      <c r="P65" s="89"/>
      <c r="Q65" s="89"/>
      <c r="R65" s="89"/>
      <c r="S65" s="89"/>
      <c r="T65" s="89"/>
      <c r="U65" s="89"/>
      <c r="V65" s="89"/>
      <c r="W65" s="89"/>
      <c r="X65" s="89"/>
      <c r="Y65" s="89"/>
      <c r="Z65" s="89"/>
      <c r="AA65" s="89"/>
      <c r="AB65" s="89"/>
      <c r="AC65" s="89"/>
      <c r="AD65" s="89"/>
    </row>
    <row r="66" spans="1:30" s="92" customFormat="1">
      <c r="A66" s="87" t="s">
        <v>3</v>
      </c>
      <c r="B66" s="88">
        <f>SUM(B64:B65)</f>
        <v>75304495</v>
      </c>
      <c r="C66" s="88"/>
      <c r="D66" s="88">
        <f>SUM(D64:D65)</f>
        <v>0</v>
      </c>
      <c r="E66" s="88">
        <f>SUM(E64:E65)</f>
        <v>0</v>
      </c>
      <c r="F66" s="88">
        <f>SUM(F64:F65)</f>
        <v>75304495</v>
      </c>
      <c r="G66" s="51"/>
      <c r="H66" s="51"/>
      <c r="I66" s="51"/>
      <c r="J66" s="51"/>
      <c r="K66" s="51"/>
      <c r="L66" s="51"/>
      <c r="M66" s="51"/>
      <c r="N66" s="51"/>
      <c r="O66" s="51"/>
    </row>
    <row r="67" spans="1:30">
      <c r="C67" s="74"/>
      <c r="O67" s="51"/>
    </row>
    <row r="68" spans="1:30" ht="13.5" thickBot="1">
      <c r="A68" s="100" t="s">
        <v>616</v>
      </c>
      <c r="B68" s="49">
        <f>B39-B54+B61+B66</f>
        <v>812346003</v>
      </c>
      <c r="C68" s="49"/>
      <c r="D68" s="49">
        <f>D39-D54+D61+D66</f>
        <v>11847376</v>
      </c>
      <c r="E68" s="49">
        <f>E39-E54+E61+E66</f>
        <v>1345478820</v>
      </c>
      <c r="F68" s="49">
        <f>F39-F54+F61+F66</f>
        <v>-544980193</v>
      </c>
      <c r="O68" s="51"/>
    </row>
    <row r="69" spans="1:30" ht="13.5" thickTop="1"/>
    <row r="70" spans="1:30">
      <c r="A70" s="51" t="s">
        <v>137</v>
      </c>
      <c r="D70" s="143"/>
    </row>
    <row r="71" spans="1:30">
      <c r="A71" s="51" t="s">
        <v>138</v>
      </c>
    </row>
    <row r="72" spans="1:30">
      <c r="B72" s="659">
        <f>'MDA FGD'!$M$91</f>
        <v>812346003</v>
      </c>
      <c r="C72" s="74"/>
      <c r="D72" s="659">
        <f>'MDA FGD'!F91</f>
        <v>11847376</v>
      </c>
      <c r="E72" s="659">
        <f>'MDA FGD'!M50</f>
        <v>403758919</v>
      </c>
      <c r="F72" s="74"/>
    </row>
    <row r="73" spans="1:30">
      <c r="B73" s="659"/>
      <c r="C73" s="74"/>
      <c r="D73" s="659">
        <f>'MDA FGD'!F74</f>
        <v>22631517</v>
      </c>
      <c r="E73" s="659">
        <f>'MDA FGD'!M53</f>
        <v>3680395600</v>
      </c>
      <c r="F73" s="659"/>
    </row>
    <row r="74" spans="1:30">
      <c r="B74" s="676"/>
      <c r="C74" s="92"/>
      <c r="D74" s="676">
        <f>-'MDA FGD'!M74</f>
        <v>-22631517</v>
      </c>
      <c r="E74" s="659">
        <f>-'MDA FGD'!M68</f>
        <v>-2723124887</v>
      </c>
      <c r="F74" s="659"/>
    </row>
    <row r="75" spans="1:30">
      <c r="B75" s="676"/>
      <c r="C75" s="74"/>
      <c r="D75" s="676"/>
      <c r="E75" s="676">
        <f>-'MDA FGD'!M67</f>
        <v>-15550812</v>
      </c>
      <c r="F75" s="659"/>
      <c r="G75" s="351"/>
      <c r="H75" s="351"/>
    </row>
    <row r="76" spans="1:30" ht="12.75" customHeight="1">
      <c r="B76" s="675"/>
      <c r="C76" s="74"/>
      <c r="D76" s="675"/>
      <c r="E76" s="675">
        <f>-D26</f>
        <v>0</v>
      </c>
      <c r="F76" s="659"/>
      <c r="G76" s="351"/>
      <c r="H76" s="351"/>
    </row>
    <row r="77" spans="1:30" ht="12.75" customHeight="1">
      <c r="B77" s="659">
        <f>SUM(B72:B76)</f>
        <v>812346003</v>
      </c>
      <c r="C77" s="74"/>
      <c r="D77" s="659">
        <f>SUM(D72:D76)</f>
        <v>11847376</v>
      </c>
      <c r="E77" s="659">
        <f>SUM(E72:E76)</f>
        <v>1345478820</v>
      </c>
      <c r="F77" s="659">
        <f>B77-D77-E77</f>
        <v>-544980193</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812346003</v>
      </c>
      <c r="C80" s="74"/>
      <c r="D80" s="659">
        <f>SUM(D77:D79)</f>
        <v>11847376</v>
      </c>
      <c r="E80" s="659">
        <f>SUM(E77:E79)</f>
        <v>1345478820</v>
      </c>
      <c r="F80" s="659">
        <f>SUM(F77:F79)</f>
        <v>-544980193</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M33"/>
  <sheetViews>
    <sheetView showGridLines="0" zoomScaleNormal="100" workbookViewId="0">
      <pane xSplit="3" ySplit="5" topLeftCell="D6" activePane="bottomRight" state="frozen"/>
      <selection activeCell="B22" sqref="B22"/>
      <selection pane="topRight" activeCell="B22" sqref="B22"/>
      <selection pane="bottomLeft" activeCell="B22" sqref="B22"/>
      <selection pane="bottomRight" activeCell="D30" sqref="D30"/>
    </sheetView>
  </sheetViews>
  <sheetFormatPr defaultRowHeight="12.75"/>
  <cols>
    <col min="1" max="1" width="9.140625" style="101"/>
    <col min="2" max="2" width="7.28515625" style="102" customWidth="1"/>
    <col min="3" max="3" width="25.140625" style="102" customWidth="1"/>
    <col min="4" max="4" width="14.85546875" style="102" customWidth="1"/>
    <col min="5" max="5" width="14.42578125" style="102" customWidth="1"/>
    <col min="6" max="6" width="14.85546875" style="102" customWidth="1"/>
    <col min="7" max="7" width="18.28515625" style="102" customWidth="1"/>
    <col min="8" max="8" width="1.5703125" style="102" customWidth="1"/>
    <col min="9" max="9" width="12.42578125" style="102" customWidth="1"/>
    <col min="10" max="10" width="14" style="102" customWidth="1"/>
    <col min="11" max="11" width="16.28515625" style="102" customWidth="1"/>
    <col min="12" max="12" width="15.85546875" style="102" customWidth="1"/>
    <col min="13" max="13" width="11.85546875" style="102" customWidth="1"/>
    <col min="14" max="16384" width="9.140625" style="102"/>
  </cols>
  <sheetData>
    <row r="1" spans="1:13" ht="13.5" thickBot="1">
      <c r="A1" s="53"/>
      <c r="B1" s="53"/>
      <c r="C1" s="53"/>
      <c r="E1" s="103" t="s">
        <v>164</v>
      </c>
      <c r="K1" s="703" t="s">
        <v>1123</v>
      </c>
    </row>
    <row r="2" spans="1:13">
      <c r="A2" s="53"/>
      <c r="B2" s="53"/>
      <c r="C2" s="53"/>
      <c r="E2" s="103" t="s">
        <v>1280</v>
      </c>
    </row>
    <row r="3" spans="1:13">
      <c r="A3" s="53"/>
      <c r="B3" s="53" t="s">
        <v>1252</v>
      </c>
      <c r="C3" s="53"/>
      <c r="E3" s="103"/>
      <c r="J3" s="276"/>
    </row>
    <row r="4" spans="1:13">
      <c r="A4" s="53"/>
      <c r="B4" s="259" t="s">
        <v>1251</v>
      </c>
      <c r="C4" s="53"/>
      <c r="E4" s="53" t="s">
        <v>1215</v>
      </c>
      <c r="J4" s="277"/>
    </row>
    <row r="5" spans="1:13" s="110" customFormat="1" ht="56.25" customHeight="1">
      <c r="A5" s="106" t="s">
        <v>107</v>
      </c>
      <c r="B5" s="106" t="s">
        <v>108</v>
      </c>
      <c r="C5" s="106"/>
      <c r="D5" s="260" t="s">
        <v>1</v>
      </c>
      <c r="E5" s="108" t="s">
        <v>86</v>
      </c>
      <c r="F5" s="265" t="s">
        <v>165</v>
      </c>
      <c r="G5" s="266" t="s">
        <v>166</v>
      </c>
      <c r="H5" s="266"/>
      <c r="I5" s="267" t="s">
        <v>197</v>
      </c>
      <c r="J5" s="267" t="s">
        <v>1282</v>
      </c>
      <c r="K5" s="268" t="s">
        <v>167</v>
      </c>
      <c r="L5" s="268" t="s">
        <v>168</v>
      </c>
      <c r="M5" s="268" t="s">
        <v>169</v>
      </c>
    </row>
    <row r="6" spans="1:13">
      <c r="A6" s="111" t="s">
        <v>109</v>
      </c>
      <c r="B6" s="112" t="s">
        <v>1281</v>
      </c>
      <c r="C6" s="113" t="s">
        <v>110</v>
      </c>
      <c r="D6" s="261">
        <f>'SWM Sum'!$G$11</f>
        <v>233159298</v>
      </c>
      <c r="E6" s="115">
        <f>'SWM Sum'!$G$14</f>
        <v>0</v>
      </c>
      <c r="F6" s="115">
        <f t="shared" ref="F6:F14" si="0">SUM(D6:E6)</f>
        <v>233159298</v>
      </c>
      <c r="G6" s="115">
        <f>'SWM Sum'!$F$54</f>
        <v>1524169740</v>
      </c>
      <c r="H6" s="116"/>
      <c r="I6" s="256">
        <f>'SWM Sum'!$C$6</f>
        <v>2166.6799999999998</v>
      </c>
      <c r="J6" s="278"/>
      <c r="K6" s="269">
        <f>F6/I6</f>
        <v>107611.32146879096</v>
      </c>
      <c r="L6" s="269">
        <f>G6/I6</f>
        <v>703458.62794690498</v>
      </c>
      <c r="M6" s="270">
        <f>F6/G6</f>
        <v>0.15297462735351247</v>
      </c>
    </row>
    <row r="7" spans="1:13">
      <c r="A7" s="111" t="s">
        <v>111</v>
      </c>
      <c r="B7" s="112" t="s">
        <v>1281</v>
      </c>
      <c r="C7" s="113" t="s">
        <v>112</v>
      </c>
      <c r="D7" s="262">
        <f>'HSSA Sum'!$G$11</f>
        <v>184176527</v>
      </c>
      <c r="E7" s="119">
        <f>'HSSA Sum'!$G$14</f>
        <v>0</v>
      </c>
      <c r="F7" s="119">
        <f t="shared" si="0"/>
        <v>184176527</v>
      </c>
      <c r="G7" s="119">
        <f>'HSSA Sum'!$F$54</f>
        <v>676737204</v>
      </c>
      <c r="H7" s="120"/>
      <c r="I7" s="256">
        <f>'HSSA Sum'!$C$6</f>
        <v>3827.8999999999996</v>
      </c>
      <c r="J7" s="278"/>
      <c r="K7" s="271">
        <f t="shared" ref="K7" si="1">F7/I7</f>
        <v>48114.247237388649</v>
      </c>
      <c r="L7" s="271">
        <f t="shared" ref="L7" si="2">G7/I7</f>
        <v>176790.72180568983</v>
      </c>
      <c r="M7" s="270">
        <f t="shared" ref="M7" si="3">F7/G7</f>
        <v>0.27215368966178488</v>
      </c>
    </row>
    <row r="8" spans="1:13">
      <c r="A8" s="111" t="s">
        <v>113</v>
      </c>
      <c r="B8" s="112" t="s">
        <v>1281</v>
      </c>
      <c r="C8" s="113" t="s">
        <v>114</v>
      </c>
      <c r="D8" s="262">
        <f>'TAMHSC Sum'!$G$11</f>
        <v>167393109</v>
      </c>
      <c r="E8" s="119">
        <f>'TAMHSC Sum'!$G$14</f>
        <v>18599332</v>
      </c>
      <c r="F8" s="119">
        <f t="shared" si="0"/>
        <v>185992441</v>
      </c>
      <c r="G8" s="119">
        <f>'TAMHSC Sum'!$F$54</f>
        <v>268035783</v>
      </c>
      <c r="H8" s="120"/>
      <c r="I8" s="256">
        <f>'TAMHSC Sum'!$C$6</f>
        <v>3113.57</v>
      </c>
      <c r="J8" s="278"/>
      <c r="K8" s="271">
        <f t="shared" ref="K8:K14" si="4">F8/I8</f>
        <v>59736.071776128367</v>
      </c>
      <c r="L8" s="271">
        <f t="shared" ref="L8:L14" si="5">G8/I8</f>
        <v>86086.31988360628</v>
      </c>
      <c r="M8" s="270">
        <f t="shared" ref="M8:M14" si="6">F8/G8</f>
        <v>0.69390899572539533</v>
      </c>
    </row>
    <row r="9" spans="1:13">
      <c r="A9" s="111" t="s">
        <v>115</v>
      </c>
      <c r="B9" s="112" t="s">
        <v>1281</v>
      </c>
      <c r="C9" s="113" t="s">
        <v>116</v>
      </c>
      <c r="D9" s="262">
        <f>'UNTHSC Sum'!$G$11</f>
        <v>105907393</v>
      </c>
      <c r="E9" s="119">
        <f>'UNTHSC Sum'!$G$14</f>
        <v>17091856</v>
      </c>
      <c r="F9" s="119">
        <f t="shared" si="0"/>
        <v>122999249</v>
      </c>
      <c r="G9" s="119">
        <f>'UNTHSC Sum'!$F$54</f>
        <v>168753897</v>
      </c>
      <c r="H9" s="120"/>
      <c r="I9" s="256">
        <f>'UNTHSC Sum'!$C$6</f>
        <v>2836.2200000000003</v>
      </c>
      <c r="J9" s="278"/>
      <c r="K9" s="271">
        <f t="shared" si="4"/>
        <v>43367.316005105386</v>
      </c>
      <c r="L9" s="271">
        <f t="shared" si="5"/>
        <v>59499.579369724488</v>
      </c>
      <c r="M9" s="270">
        <f t="shared" si="6"/>
        <v>0.72886760653592486</v>
      </c>
    </row>
    <row r="10" spans="1:13">
      <c r="A10" s="111" t="s">
        <v>117</v>
      </c>
      <c r="B10" s="112" t="s">
        <v>1281</v>
      </c>
      <c r="C10" s="113" t="s">
        <v>1300</v>
      </c>
      <c r="D10" s="262">
        <f>'THC Sum'!$G$11</f>
        <v>64528570</v>
      </c>
      <c r="E10" s="119">
        <f>'THC Sum'!$G$14</f>
        <v>0</v>
      </c>
      <c r="F10" s="119">
        <f t="shared" si="0"/>
        <v>64528570</v>
      </c>
      <c r="G10" s="119">
        <f>'THC Sum'!$F$54</f>
        <v>66278750</v>
      </c>
      <c r="H10" s="274"/>
      <c r="I10" s="256">
        <f>'THC Sum'!$C$6</f>
        <v>30.130000000000003</v>
      </c>
      <c r="J10" s="278"/>
      <c r="K10" s="274" t="s">
        <v>170</v>
      </c>
      <c r="L10" s="274" t="s">
        <v>170</v>
      </c>
      <c r="M10" s="274" t="s">
        <v>170</v>
      </c>
    </row>
    <row r="11" spans="1:13">
      <c r="A11" s="111" t="s">
        <v>119</v>
      </c>
      <c r="B11" s="112" t="s">
        <v>1281</v>
      </c>
      <c r="C11" s="113" t="s">
        <v>120</v>
      </c>
      <c r="D11" s="262">
        <f>'TTUHSC Sum'!$G$11</f>
        <v>178247608</v>
      </c>
      <c r="E11" s="119">
        <f>'TTUHSC Sum'!$G$14</f>
        <v>23372396</v>
      </c>
      <c r="F11" s="119">
        <f t="shared" si="0"/>
        <v>201620004</v>
      </c>
      <c r="G11" s="119">
        <f>'TTUHSC Sum'!$F$54</f>
        <v>434392037</v>
      </c>
      <c r="H11" s="120"/>
      <c r="I11" s="256">
        <f>'TTUHSC Sum'!$C$6</f>
        <v>5735.93</v>
      </c>
      <c r="J11" s="279"/>
      <c r="K11" s="271">
        <f t="shared" si="4"/>
        <v>35150.359924197124</v>
      </c>
      <c r="L11" s="271">
        <f t="shared" si="5"/>
        <v>75731.753525583466</v>
      </c>
      <c r="M11" s="270">
        <f t="shared" si="6"/>
        <v>0.46414295573286485</v>
      </c>
    </row>
    <row r="12" spans="1:13">
      <c r="A12" s="111" t="s">
        <v>121</v>
      </c>
      <c r="B12" s="112" t="s">
        <v>1281</v>
      </c>
      <c r="C12" s="113" t="s">
        <v>122</v>
      </c>
      <c r="D12" s="262">
        <f>'HSH Sum'!$G$11</f>
        <v>233613776</v>
      </c>
      <c r="E12" s="119">
        <f>'HSH Sum'!$G$14</f>
        <v>0</v>
      </c>
      <c r="F12" s="119">
        <f t="shared" si="0"/>
        <v>233613776</v>
      </c>
      <c r="G12" s="119">
        <f>'HSH Sum'!$F$54</f>
        <v>1128307169</v>
      </c>
      <c r="H12" s="120"/>
      <c r="I12" s="256">
        <f>'HSH Sum'!$C$6</f>
        <v>4887.8900000000003</v>
      </c>
      <c r="J12" s="278"/>
      <c r="K12" s="271">
        <f t="shared" si="4"/>
        <v>47794.401265167588</v>
      </c>
      <c r="L12" s="271">
        <f t="shared" si="5"/>
        <v>230837.26700068943</v>
      </c>
      <c r="M12" s="270">
        <f t="shared" si="6"/>
        <v>0.20704802948921083</v>
      </c>
    </row>
    <row r="13" spans="1:13">
      <c r="A13" s="111" t="s">
        <v>123</v>
      </c>
      <c r="B13" s="112" t="s">
        <v>1281</v>
      </c>
      <c r="C13" s="113" t="s">
        <v>124</v>
      </c>
      <c r="D13" s="262">
        <f>'MDA Sum'!$G$11</f>
        <v>258497280</v>
      </c>
      <c r="E13" s="119">
        <f>'MDA Sum'!$G$14</f>
        <v>0</v>
      </c>
      <c r="F13" s="119">
        <f t="shared" si="0"/>
        <v>258497280</v>
      </c>
      <c r="G13" s="119">
        <f>'MDA Sum'!$F$54</f>
        <v>1397497530</v>
      </c>
      <c r="H13" s="274"/>
      <c r="I13" s="256">
        <f>'MDA Sum'!$C$6</f>
        <v>378.18</v>
      </c>
      <c r="J13" s="278"/>
      <c r="K13" s="274" t="s">
        <v>170</v>
      </c>
      <c r="L13" s="274" t="s">
        <v>170</v>
      </c>
      <c r="M13" s="274" t="s">
        <v>170</v>
      </c>
    </row>
    <row r="14" spans="1:13">
      <c r="A14" s="121">
        <v>104952</v>
      </c>
      <c r="B14" s="112" t="s">
        <v>1281</v>
      </c>
      <c r="C14" s="122" t="s">
        <v>125</v>
      </c>
      <c r="D14" s="263">
        <f>'MBG Sum'!$G$11</f>
        <v>380383100</v>
      </c>
      <c r="E14" s="124">
        <f>'MBG Sum'!$G$14</f>
        <v>0</v>
      </c>
      <c r="F14" s="124">
        <f t="shared" si="0"/>
        <v>380383100</v>
      </c>
      <c r="G14" s="124">
        <f>'MBG Sum'!$F$54</f>
        <v>666690780</v>
      </c>
      <c r="H14" s="125"/>
      <c r="I14" s="257">
        <f>'MBG Sum'!$C$6</f>
        <v>3693.9200000000005</v>
      </c>
      <c r="J14" s="278"/>
      <c r="K14" s="271">
        <f t="shared" si="4"/>
        <v>102975.45696712434</v>
      </c>
      <c r="L14" s="271">
        <f t="shared" si="5"/>
        <v>180483.27521982064</v>
      </c>
      <c r="M14" s="270">
        <f t="shared" si="6"/>
        <v>0.57055401306134756</v>
      </c>
    </row>
    <row r="15" spans="1:13" ht="13.5" thickBot="1">
      <c r="A15" s="127"/>
      <c r="B15" s="127">
        <f>COUNTA(B6:B14)</f>
        <v>9</v>
      </c>
      <c r="C15" s="128" t="s">
        <v>126</v>
      </c>
      <c r="D15" s="264">
        <f t="shared" ref="D15:G15" si="7">SUM(D6:D14)</f>
        <v>1805906661</v>
      </c>
      <c r="E15" s="129">
        <f t="shared" si="7"/>
        <v>59063584</v>
      </c>
      <c r="F15" s="129">
        <f t="shared" si="7"/>
        <v>1864970245</v>
      </c>
      <c r="G15" s="129">
        <f t="shared" si="7"/>
        <v>6330862890</v>
      </c>
      <c r="H15" s="130"/>
      <c r="I15" s="258">
        <f>SUM(I6:I14)</f>
        <v>26670.420000000002</v>
      </c>
      <c r="J15" s="280">
        <f>SUM(J6:J14)</f>
        <v>0</v>
      </c>
      <c r="K15" s="272">
        <f>F15/I15</f>
        <v>69926.542026709736</v>
      </c>
      <c r="L15" s="272">
        <f>G15/I15</f>
        <v>237373.94799182014</v>
      </c>
      <c r="M15" s="273">
        <f>F15/G15</f>
        <v>0.29458389439231719</v>
      </c>
    </row>
    <row r="16" spans="1:13" ht="13.5" thickTop="1"/>
    <row r="17" spans="3:6">
      <c r="D17" s="76" t="s">
        <v>127</v>
      </c>
      <c r="E17" s="76" t="s">
        <v>127</v>
      </c>
      <c r="F17" s="101"/>
    </row>
    <row r="18" spans="3:6" ht="51">
      <c r="C18" s="132" t="s">
        <v>128</v>
      </c>
      <c r="D18" s="133" t="s">
        <v>1</v>
      </c>
      <c r="E18" s="134" t="s">
        <v>26</v>
      </c>
      <c r="F18" s="275" t="s">
        <v>171</v>
      </c>
    </row>
    <row r="19" spans="3:6" ht="52.5" customHeight="1">
      <c r="D19" s="133" t="s">
        <v>2</v>
      </c>
      <c r="E19" s="134" t="s">
        <v>46</v>
      </c>
      <c r="F19" s="135"/>
    </row>
    <row r="20" spans="3:6" ht="45" customHeight="1">
      <c r="D20" s="133" t="s">
        <v>105</v>
      </c>
      <c r="E20" s="135"/>
      <c r="F20" s="135"/>
    </row>
    <row r="21" spans="3:6" ht="12.75" customHeight="1"/>
    <row r="23" spans="3:6">
      <c r="D23" s="103" t="s">
        <v>129</v>
      </c>
    </row>
    <row r="24" spans="3:6">
      <c r="D24" s="136" t="s">
        <v>130</v>
      </c>
    </row>
    <row r="25" spans="3:6">
      <c r="D25" s="136" t="s">
        <v>131</v>
      </c>
    </row>
    <row r="26" spans="3:6">
      <c r="D26" s="136" t="s">
        <v>132</v>
      </c>
    </row>
    <row r="27" spans="3:6">
      <c r="D27" s="136" t="s">
        <v>133</v>
      </c>
    </row>
    <row r="32" spans="3:6">
      <c r="C32" s="102" t="s">
        <v>1260</v>
      </c>
    </row>
    <row r="33" spans="2:13">
      <c r="B33" s="102">
        <v>9</v>
      </c>
      <c r="C33" s="102" t="s">
        <v>126</v>
      </c>
      <c r="D33" s="102">
        <v>1649647501</v>
      </c>
      <c r="E33" s="102">
        <v>34564834</v>
      </c>
      <c r="F33" s="102">
        <v>1684212335</v>
      </c>
      <c r="G33" s="102">
        <v>5600993758</v>
      </c>
      <c r="I33" s="102">
        <v>23535.68</v>
      </c>
      <c r="J33" s="102">
        <v>0</v>
      </c>
      <c r="K33" s="102">
        <v>71559.960663979116</v>
      </c>
      <c r="L33" s="102">
        <v>237978.83715278251</v>
      </c>
      <c r="M33" s="102">
        <v>0.300698841628668</v>
      </c>
    </row>
  </sheetData>
  <conditionalFormatting sqref="M6:M7">
    <cfRule type="colorScale" priority="9">
      <colorScale>
        <cfvo type="min"/>
        <cfvo type="percentile" val="50"/>
        <cfvo type="max"/>
        <color rgb="FFF8696B"/>
        <color rgb="FFFFEB84"/>
        <color rgb="FF63BE7B"/>
      </colorScale>
    </cfRule>
  </conditionalFormatting>
  <conditionalFormatting sqref="M6:M7">
    <cfRule type="colorScale" priority="8">
      <colorScale>
        <cfvo type="min"/>
        <cfvo type="percentile" val="50"/>
        <cfvo type="max"/>
        <color rgb="FFF8696B"/>
        <color rgb="FFFFEB84"/>
        <color rgb="FF63BE7B"/>
      </colorScale>
    </cfRule>
  </conditionalFormatting>
  <conditionalFormatting sqref="M8:M9 M11:M14">
    <cfRule type="colorScale" priority="7">
      <colorScale>
        <cfvo type="min"/>
        <cfvo type="percentile" val="50"/>
        <cfvo type="max"/>
        <color rgb="FFF8696B"/>
        <color rgb="FFFFEB84"/>
        <color rgb="FF63BE7B"/>
      </colorScale>
    </cfRule>
  </conditionalFormatting>
  <conditionalFormatting sqref="M8:M9">
    <cfRule type="colorScale" priority="6">
      <colorScale>
        <cfvo type="min"/>
        <cfvo type="percentile" val="50"/>
        <cfvo type="max"/>
        <color rgb="FFF8696B"/>
        <color rgb="FFFFEB84"/>
        <color rgb="FF63BE7B"/>
      </colorScale>
    </cfRule>
  </conditionalFormatting>
  <conditionalFormatting sqref="M15">
    <cfRule type="colorScale" priority="5">
      <colorScale>
        <cfvo type="min"/>
        <cfvo type="percentile" val="50"/>
        <cfvo type="max"/>
        <color rgb="FFF8696B"/>
        <color rgb="FFFFEB84"/>
        <color rgb="FF63BE7B"/>
      </colorScale>
    </cfRule>
  </conditionalFormatting>
  <conditionalFormatting sqref="M15">
    <cfRule type="colorScale" priority="4">
      <colorScale>
        <cfvo type="min"/>
        <cfvo type="percentile" val="50"/>
        <cfvo type="max"/>
        <color rgb="FFF8696B"/>
        <color rgb="FFFFEB84"/>
        <color rgb="FF63BE7B"/>
      </colorScale>
    </cfRule>
  </conditionalFormatting>
  <conditionalFormatting sqref="M6:M15">
    <cfRule type="colorScale" priority="1">
      <colorScale>
        <cfvo type="min"/>
        <cfvo type="percentile" val="50"/>
        <cfvo type="max"/>
        <color rgb="FFF8696B"/>
        <color rgb="FFFFEB84"/>
        <color rgb="FF63BE7B"/>
      </colorScale>
    </cfRule>
  </conditionalFormatting>
  <hyperlinks>
    <hyperlink ref="K1" location="Index!A1" display="Return to Index"/>
  </hyperlinks>
  <printOptions horizontalCentered="1"/>
  <pageMargins left="0.25" right="0.25" top="0.5" bottom="0.5" header="0.5" footer="0.5"/>
  <pageSetup scale="82" orientation="landscape" horizontalDpi="1200" verticalDpi="1200" r:id="rId1"/>
  <headerFooter alignWithMargins="0">
    <oddFooter>&amp;L&amp;8Planning &amp; Accountability&amp;R&amp;8&amp;D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6.7109375" style="166" customWidth="1"/>
    <col min="13" max="13" width="17.28515625" style="166" customWidth="1"/>
    <col min="14" max="14" width="5.140625" style="166" customWidth="1"/>
    <col min="15" max="15" width="15.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3"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O1" s="292"/>
      <c r="P1" s="293"/>
      <c r="Q1" s="293"/>
      <c r="R1" s="293"/>
      <c r="S1" s="293"/>
      <c r="T1" s="293"/>
      <c r="U1" s="293"/>
      <c r="V1" s="293"/>
      <c r="W1" s="293"/>
      <c r="X1" s="293"/>
      <c r="Y1" s="293"/>
      <c r="Z1" s="293"/>
      <c r="AA1" s="293"/>
      <c r="AB1" s="293"/>
    </row>
    <row r="2" spans="1:28" ht="20.25">
      <c r="A2" s="173">
        <v>1</v>
      </c>
      <c r="B2" s="1273" t="str">
        <f>'MDA Chts'!$A$1</f>
        <v>The University of Texas M.D. Anderson Cancer Center</v>
      </c>
      <c r="C2" s="1273"/>
      <c r="D2" s="1273"/>
      <c r="E2" s="1273"/>
      <c r="F2" s="1273"/>
      <c r="H2" s="174"/>
      <c r="I2" s="149" t="str">
        <f>IF($B$2&lt;&gt;Input!$H$10,"Name Mismatch","")</f>
        <v/>
      </c>
      <c r="K2" s="174"/>
      <c r="L2" s="174"/>
      <c r="M2" s="175"/>
      <c r="O2" s="737" t="s">
        <v>1123</v>
      </c>
      <c r="P2" s="294"/>
    </row>
    <row r="3" spans="1:28" ht="20.25">
      <c r="A3" s="173">
        <v>2</v>
      </c>
      <c r="B3" s="1273" t="str">
        <f>'Smmy Chts'!$A$2</f>
        <v>For the Year Ended August 31, 2018</v>
      </c>
      <c r="C3" s="1273"/>
      <c r="D3" s="1273"/>
      <c r="E3" s="1273"/>
      <c r="F3" s="1273"/>
      <c r="G3" s="174"/>
      <c r="H3" s="174"/>
      <c r="K3" s="174"/>
      <c r="L3" s="174"/>
      <c r="M3" s="175"/>
      <c r="O3" s="73"/>
    </row>
    <row r="4" spans="1:28" ht="20.25">
      <c r="A4" s="173">
        <v>3</v>
      </c>
      <c r="B4" s="1273" t="str">
        <f>'Smmy Chts'!$A$3</f>
        <v>Source: FY 2018 Annual Financial Report</v>
      </c>
      <c r="C4" s="1273"/>
      <c r="D4" s="1273"/>
      <c r="E4" s="1273"/>
      <c r="F4" s="1273"/>
      <c r="G4" s="174"/>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Input!$M$10</f>
        <v>210130004</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210130004</v>
      </c>
      <c r="O10" s="184"/>
      <c r="P10" s="1308" t="s">
        <v>595</v>
      </c>
      <c r="Q10" s="50"/>
      <c r="R10" s="50"/>
      <c r="S10" s="50"/>
      <c r="T10" s="183"/>
      <c r="U10" s="183"/>
      <c r="V10" s="50"/>
      <c r="W10" s="50"/>
      <c r="X10" s="50"/>
      <c r="Y10" s="50"/>
      <c r="Z10" s="50"/>
      <c r="AA10" s="50"/>
      <c r="AB10" s="50"/>
    </row>
    <row r="11" spans="1:28" s="149" customFormat="1">
      <c r="A11" s="147">
        <v>10</v>
      </c>
      <c r="B11" s="149" t="s">
        <v>2</v>
      </c>
      <c r="D11" s="355">
        <f>Input!$V$10</f>
        <v>97972</v>
      </c>
      <c r="E11" s="355">
        <f>Input!$W$10</f>
        <v>2309388</v>
      </c>
      <c r="F11" s="355">
        <f>Input!$X$10</f>
        <v>0</v>
      </c>
      <c r="G11" s="355">
        <f>Input!$Y$10</f>
        <v>45959916</v>
      </c>
      <c r="H11" s="355">
        <f>Input!$Z$10</f>
        <v>0</v>
      </c>
      <c r="I11" s="355">
        <f>Input!$AA$10</f>
        <v>0</v>
      </c>
      <c r="J11" s="355">
        <f>Input!$AB$10</f>
        <v>0</v>
      </c>
      <c r="K11" s="355">
        <f>Input!$AC$10</f>
        <v>0</v>
      </c>
      <c r="L11" s="355">
        <f>Input!$AD$10</f>
        <v>0</v>
      </c>
      <c r="M11" s="357">
        <f t="shared" si="0"/>
        <v>48367276</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Input!$AN$10</f>
        <v>0</v>
      </c>
      <c r="E13" s="355">
        <f>Input!$AO$10</f>
        <v>0</v>
      </c>
      <c r="F13" s="355">
        <f>Input!$AP$10</f>
        <v>0</v>
      </c>
      <c r="G13" s="355">
        <f>Input!$AQ$10</f>
        <v>0</v>
      </c>
      <c r="H13" s="355">
        <f>Input!$AR$10</f>
        <v>0</v>
      </c>
      <c r="I13" s="355">
        <f>Input!$AS$10</f>
        <v>0</v>
      </c>
      <c r="J13" s="355">
        <f>Input!$AT$10</f>
        <v>0</v>
      </c>
      <c r="K13" s="355">
        <f>Input!$AU$10</f>
        <v>0</v>
      </c>
      <c r="L13" s="355">
        <f>Input!$AV$10</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210227976</v>
      </c>
      <c r="E15" s="356">
        <f t="shared" ref="E15:L15" si="1">SUM(E10:E14)</f>
        <v>2309388</v>
      </c>
      <c r="F15" s="356">
        <f t="shared" si="1"/>
        <v>0</v>
      </c>
      <c r="G15" s="356">
        <f t="shared" si="1"/>
        <v>45959916</v>
      </c>
      <c r="H15" s="356">
        <f t="shared" si="1"/>
        <v>0</v>
      </c>
      <c r="I15" s="356">
        <f t="shared" si="1"/>
        <v>0</v>
      </c>
      <c r="J15" s="356">
        <f t="shared" si="1"/>
        <v>0</v>
      </c>
      <c r="K15" s="356">
        <f t="shared" si="1"/>
        <v>0</v>
      </c>
      <c r="L15" s="356">
        <f t="shared" si="1"/>
        <v>0</v>
      </c>
      <c r="M15" s="356">
        <f t="shared" si="0"/>
        <v>258497280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826735</v>
      </c>
      <c r="E18" s="356">
        <f t="shared" si="2"/>
        <v>412439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1239174</v>
      </c>
      <c r="V18" s="342"/>
      <c r="X18" s="326"/>
    </row>
    <row r="19" spans="1:26" s="50" customFormat="1" ht="12.75" customHeight="1" thickTop="1" thickBot="1">
      <c r="A19" s="293"/>
      <c r="B19" s="51" t="s">
        <v>638</v>
      </c>
      <c r="C19" s="51"/>
      <c r="D19" s="355">
        <f>Input!$BF$10</f>
        <v>-239990</v>
      </c>
      <c r="E19" s="355">
        <f>Input!$BG$10</f>
        <v>0</v>
      </c>
      <c r="F19" s="355">
        <f>Input!$BH$10</f>
        <v>0</v>
      </c>
      <c r="G19" s="355">
        <f>Input!$BI$10</f>
        <v>0</v>
      </c>
      <c r="H19" s="355">
        <f>Input!$BJ$10</f>
        <v>0</v>
      </c>
      <c r="I19" s="355">
        <f>Input!BK6</f>
        <v>0</v>
      </c>
      <c r="J19" s="355">
        <f>Input!$BL$10</f>
        <v>0</v>
      </c>
      <c r="K19" s="355">
        <f>Input!BM6</f>
        <v>0</v>
      </c>
      <c r="L19" s="355">
        <f>Input!BN6</f>
        <v>0</v>
      </c>
      <c r="M19" s="357">
        <f t="shared" si="3"/>
        <v>-239990</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Input!$BO$10</f>
        <v>0</v>
      </c>
      <c r="E20" s="355">
        <f>Input!$BP$10</f>
        <v>0</v>
      </c>
      <c r="F20" s="355">
        <f>Input!$BQ$10</f>
        <v>0</v>
      </c>
      <c r="G20" s="355">
        <f>Input!$BR$10</f>
        <v>0</v>
      </c>
      <c r="H20" s="355">
        <f>Input!$BS$10</f>
        <v>0</v>
      </c>
      <c r="I20" s="355">
        <f>Input!$BT$10</f>
        <v>0</v>
      </c>
      <c r="J20" s="355">
        <f>Input!BU6</f>
        <v>0</v>
      </c>
      <c r="K20" s="355">
        <f>Input!BV6</f>
        <v>0</v>
      </c>
      <c r="L20" s="355">
        <f>Input!$BW$10</f>
        <v>0</v>
      </c>
      <c r="M20" s="357">
        <f t="shared" si="3"/>
        <v>0</v>
      </c>
      <c r="O20" s="414" t="s">
        <v>215</v>
      </c>
      <c r="P20" s="415"/>
      <c r="Q20" s="416"/>
      <c r="R20" s="416"/>
      <c r="S20" s="537"/>
      <c r="U20" s="538" t="s">
        <v>997</v>
      </c>
      <c r="V20" s="296"/>
      <c r="W20" s="296"/>
      <c r="Y20" s="420"/>
    </row>
    <row r="21" spans="1:26" s="50" customFormat="1">
      <c r="A21" s="293"/>
      <c r="B21" s="51" t="s">
        <v>640</v>
      </c>
      <c r="C21" s="51"/>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430"/>
      <c r="R21" s="347"/>
      <c r="S21" s="539"/>
      <c r="U21" s="621" t="s">
        <v>998</v>
      </c>
      <c r="V21" s="296"/>
      <c r="W21" s="296"/>
      <c r="X21" s="622">
        <f>M44</f>
        <v>1113485</v>
      </c>
      <c r="Y21" s="420"/>
      <c r="Z21" s="326"/>
    </row>
    <row r="22" spans="1:26" s="50" customFormat="1">
      <c r="A22" s="293"/>
      <c r="B22" s="51" t="s">
        <v>641</v>
      </c>
      <c r="C22" s="51"/>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99"/>
      <c r="O22" s="430" t="s">
        <v>999</v>
      </c>
      <c r="P22" s="305"/>
      <c r="Q22" s="419">
        <f>M23</f>
        <v>999184</v>
      </c>
      <c r="S22" s="540"/>
      <c r="U22" s="621" t="s">
        <v>1000</v>
      </c>
      <c r="V22" s="296"/>
      <c r="W22" s="296"/>
      <c r="X22" s="623">
        <f>R30*-1</f>
        <v>20421</v>
      </c>
      <c r="Y22" s="420"/>
    </row>
    <row r="23" spans="1:26" s="50" customFormat="1" ht="12.75" customHeight="1">
      <c r="A23" s="293"/>
      <c r="B23" s="536" t="s">
        <v>642</v>
      </c>
      <c r="C23" s="179"/>
      <c r="D23" s="541">
        <f>Input!$CP$10</f>
        <v>586745</v>
      </c>
      <c r="E23" s="541">
        <f>Input!$CQ$10</f>
        <v>412439</v>
      </c>
      <c r="F23" s="541">
        <f>Input!$CR$10</f>
        <v>0</v>
      </c>
      <c r="G23" s="541">
        <f>Input!$CS$10</f>
        <v>0</v>
      </c>
      <c r="H23" s="541">
        <f>Input!$CT$10</f>
        <v>0</v>
      </c>
      <c r="I23" s="541">
        <f>Input!$CU$10</f>
        <v>0</v>
      </c>
      <c r="J23" s="541">
        <f>Input!$CV$10</f>
        <v>0</v>
      </c>
      <c r="K23" s="541">
        <f>Input!$CW$10</f>
        <v>0</v>
      </c>
      <c r="L23" s="541">
        <f>Input!$CX$10</f>
        <v>0</v>
      </c>
      <c r="M23" s="542">
        <f t="shared" si="3"/>
        <v>999184</v>
      </c>
      <c r="O23" s="430"/>
      <c r="P23" s="305"/>
      <c r="Q23" s="419"/>
      <c r="S23" s="540"/>
      <c r="U23" s="538" t="s">
        <v>1185</v>
      </c>
      <c r="V23" s="296"/>
      <c r="W23" s="296"/>
      <c r="X23" s="305"/>
      <c r="Y23" s="420">
        <f>SUM(X21:X22)</f>
        <v>1133906</v>
      </c>
      <c r="Z23" s="326"/>
    </row>
    <row r="24" spans="1:26" s="50" customFormat="1" ht="12.75" customHeight="1">
      <c r="A24" s="293"/>
      <c r="B24" s="51" t="s">
        <v>643</v>
      </c>
      <c r="C24" s="180"/>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43">
        <f t="shared" si="3"/>
        <v>0</v>
      </c>
      <c r="O24" s="418" t="s">
        <v>1001</v>
      </c>
      <c r="P24" s="305"/>
      <c r="Q24" s="342"/>
      <c r="R24" s="342">
        <f>SUM(M24:M28)</f>
        <v>-17848</v>
      </c>
      <c r="S24" s="540"/>
      <c r="U24" s="538"/>
      <c r="V24" s="296"/>
      <c r="W24" s="296"/>
      <c r="Y24" s="420"/>
      <c r="Z24" s="326"/>
    </row>
    <row r="25" spans="1:26" s="50" customFormat="1" ht="12.75" customHeight="1">
      <c r="A25" s="293"/>
      <c r="B25" s="51" t="s">
        <v>644</v>
      </c>
      <c r="C25" s="180"/>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43">
        <f t="shared" si="3"/>
        <v>0</v>
      </c>
      <c r="O25" s="430"/>
      <c r="P25" s="305"/>
      <c r="Q25" s="342"/>
      <c r="R25" s="342"/>
      <c r="S25" s="540"/>
      <c r="U25" s="544" t="s">
        <v>1045</v>
      </c>
      <c r="V25" s="545"/>
      <c r="W25" s="545"/>
      <c r="X25" s="624">
        <f>(M26+M39)*-1</f>
        <v>9200</v>
      </c>
      <c r="Y25" s="420"/>
      <c r="Z25" s="326"/>
    </row>
    <row r="26" spans="1:26" s="50" customFormat="1" ht="12.75" customHeight="1">
      <c r="A26" s="293"/>
      <c r="B26" s="51" t="s">
        <v>645</v>
      </c>
      <c r="C26" s="180"/>
      <c r="D26" s="355">
        <f>Input!$DQ$10</f>
        <v>-9200</v>
      </c>
      <c r="E26" s="355">
        <f>Input!$DR$10</f>
        <v>0</v>
      </c>
      <c r="F26" s="355">
        <f>Input!$DS$10</f>
        <v>0</v>
      </c>
      <c r="G26" s="355">
        <f>Input!$DT$10</f>
        <v>0</v>
      </c>
      <c r="H26" s="355">
        <f>Input!$DU$10</f>
        <v>0</v>
      </c>
      <c r="I26" s="355">
        <f>Input!$DV$10</f>
        <v>0</v>
      </c>
      <c r="J26" s="355">
        <f>Input!$DW$10</f>
        <v>0</v>
      </c>
      <c r="K26" s="355">
        <f>Input!$DX$10</f>
        <v>0</v>
      </c>
      <c r="L26" s="355">
        <f>Input!$DY$10</f>
        <v>0</v>
      </c>
      <c r="M26" s="543">
        <f t="shared" si="3"/>
        <v>-9200</v>
      </c>
      <c r="O26" s="430" t="s">
        <v>1002</v>
      </c>
      <c r="P26" s="305"/>
      <c r="Q26" s="422">
        <f>M36</f>
        <v>134722</v>
      </c>
      <c r="R26" s="423"/>
      <c r="S26" s="546"/>
      <c r="U26" s="538" t="s">
        <v>1046</v>
      </c>
      <c r="V26" s="296"/>
      <c r="W26" s="296"/>
      <c r="X26" s="547">
        <f>(M21+M34)*-1</f>
        <v>0</v>
      </c>
      <c r="Y26" s="420"/>
      <c r="Z26" s="326"/>
    </row>
    <row r="27" spans="1:26" s="50" customFormat="1">
      <c r="A27" s="293"/>
      <c r="B27" s="51" t="s">
        <v>646</v>
      </c>
      <c r="C27" s="180"/>
      <c r="D27" s="355">
        <f>Input!$DZ$10</f>
        <v>0</v>
      </c>
      <c r="E27" s="355">
        <f>Input!$EA$10</f>
        <v>-8648</v>
      </c>
      <c r="F27" s="355">
        <f>Input!$EB$10</f>
        <v>0</v>
      </c>
      <c r="G27" s="355">
        <f>Input!$EC$10</f>
        <v>0</v>
      </c>
      <c r="H27" s="355">
        <f>Input!$ED$10</f>
        <v>0</v>
      </c>
      <c r="I27" s="355">
        <f>Input!$EE$10</f>
        <v>0</v>
      </c>
      <c r="J27" s="355">
        <f>Input!$EF$10</f>
        <v>0</v>
      </c>
      <c r="K27" s="355">
        <f>Input!$EG$10</f>
        <v>0</v>
      </c>
      <c r="L27" s="355">
        <f>Input!$EH$10</f>
        <v>0</v>
      </c>
      <c r="M27" s="543">
        <f t="shared" si="3"/>
        <v>-8648</v>
      </c>
      <c r="O27" s="430"/>
      <c r="P27" s="305"/>
      <c r="Q27" s="422"/>
      <c r="R27" s="423"/>
      <c r="S27" s="546"/>
      <c r="U27" s="621" t="s">
        <v>1047</v>
      </c>
      <c r="V27" s="221"/>
      <c r="W27" s="221"/>
      <c r="X27" s="625">
        <f>SUM(X25:X26)</f>
        <v>9200</v>
      </c>
      <c r="Y27" s="626"/>
    </row>
    <row r="28" spans="1:26" s="50" customFormat="1">
      <c r="A28" s="293"/>
      <c r="B28" s="51" t="s">
        <v>1361</v>
      </c>
      <c r="C28" s="180"/>
      <c r="D28" s="355">
        <f>Input!$EI$10</f>
        <v>0</v>
      </c>
      <c r="E28" s="355">
        <f>Input!$EJ$10</f>
        <v>0</v>
      </c>
      <c r="F28" s="355">
        <f>Input!$EK$10</f>
        <v>0</v>
      </c>
      <c r="G28" s="355">
        <f>Input!$EL$10</f>
        <v>0</v>
      </c>
      <c r="H28" s="355">
        <f>Input!$EM$10</f>
        <v>0</v>
      </c>
      <c r="I28" s="355">
        <f>Input!$EN$10</f>
        <v>0</v>
      </c>
      <c r="J28" s="355">
        <f>Input!$EO$10</f>
        <v>0</v>
      </c>
      <c r="K28" s="355">
        <f>Input!$EP$10</f>
        <v>0</v>
      </c>
      <c r="L28" s="355">
        <f>Input!$EQ$10</f>
        <v>0</v>
      </c>
      <c r="M28" s="543">
        <f t="shared" si="3"/>
        <v>0</v>
      </c>
      <c r="O28" s="418" t="s">
        <v>1003</v>
      </c>
      <c r="Q28" s="425"/>
      <c r="R28" s="342">
        <f>SUM(M37:M41)</f>
        <v>-2573</v>
      </c>
      <c r="S28" s="540"/>
      <c r="U28" s="538" t="s">
        <v>1048</v>
      </c>
      <c r="V28" s="296"/>
      <c r="W28" s="296"/>
      <c r="X28" s="420">
        <f>(M27+M40)*-1</f>
        <v>11221</v>
      </c>
      <c r="Y28" s="626"/>
      <c r="Z28" s="326"/>
    </row>
    <row r="29" spans="1:26" s="50" customFormat="1" ht="12" customHeight="1">
      <c r="A29" s="293"/>
      <c r="B29" s="551" t="s">
        <v>37</v>
      </c>
      <c r="C29" s="179"/>
      <c r="D29" s="356">
        <f t="shared" ref="D29:L29" si="4">SUM(D23:D28)</f>
        <v>577545</v>
      </c>
      <c r="E29" s="356">
        <f t="shared" si="4"/>
        <v>403791</v>
      </c>
      <c r="F29" s="356">
        <f t="shared" si="4"/>
        <v>0</v>
      </c>
      <c r="G29" s="356">
        <f t="shared" si="4"/>
        <v>0</v>
      </c>
      <c r="H29" s="356">
        <f t="shared" si="4"/>
        <v>0</v>
      </c>
      <c r="I29" s="356">
        <f t="shared" si="4"/>
        <v>0</v>
      </c>
      <c r="J29" s="356">
        <f t="shared" si="4"/>
        <v>0</v>
      </c>
      <c r="K29" s="356">
        <f t="shared" si="4"/>
        <v>0</v>
      </c>
      <c r="L29" s="356">
        <f t="shared" si="4"/>
        <v>0</v>
      </c>
      <c r="M29" s="356">
        <f t="shared" si="3"/>
        <v>981336</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1133906</v>
      </c>
      <c r="R30" s="429">
        <f>R28+R24</f>
        <v>-20421</v>
      </c>
      <c r="S30" s="553"/>
      <c r="U30" s="621" t="s">
        <v>1050</v>
      </c>
      <c r="V30" s="221"/>
      <c r="W30" s="221"/>
      <c r="X30" s="625">
        <f>SUM(X28:X29)</f>
        <v>11221</v>
      </c>
      <c r="Y30" s="626"/>
    </row>
    <row r="31" spans="1:26" s="50" customFormat="1" ht="12.75" customHeight="1">
      <c r="A31" s="293"/>
      <c r="B31" s="536" t="s">
        <v>1005</v>
      </c>
      <c r="C31" s="536"/>
      <c r="D31" s="356">
        <f t="shared" ref="D31:L31" si="5">D36-SUM(D32:D35)</f>
        <v>0</v>
      </c>
      <c r="E31" s="356">
        <f t="shared" si="5"/>
        <v>134722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134722</v>
      </c>
      <c r="O31" s="430" t="s">
        <v>217</v>
      </c>
      <c r="P31" s="305"/>
      <c r="Q31" s="349"/>
      <c r="R31" s="305"/>
      <c r="S31" s="540"/>
      <c r="U31" s="548" t="s">
        <v>1051</v>
      </c>
      <c r="V31" s="549"/>
      <c r="W31" s="549"/>
      <c r="X31" s="550">
        <f>X27+X30</f>
        <v>20421</v>
      </c>
      <c r="Y31" s="420"/>
      <c r="Z31" s="326"/>
    </row>
    <row r="32" spans="1:26" s="50" customFormat="1" ht="12.75" customHeight="1">
      <c r="A32" s="293"/>
      <c r="B32" s="51" t="s">
        <v>638</v>
      </c>
      <c r="C32" s="51"/>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43">
        <f t="shared" si="6"/>
        <v>0</v>
      </c>
      <c r="O32" s="431" t="s">
        <v>1245</v>
      </c>
      <c r="P32" s="432"/>
      <c r="Q32" s="433">
        <f>Input!$TI$10</f>
        <v>1133906</v>
      </c>
      <c r="R32" s="432"/>
      <c r="S32" s="554"/>
      <c r="U32" s="538"/>
      <c r="V32" s="296"/>
      <c r="W32" s="296"/>
      <c r="Y32" s="420"/>
      <c r="Z32" s="326"/>
    </row>
    <row r="33" spans="1:28" s="50" customFormat="1">
      <c r="A33" s="293"/>
      <c r="B33" s="51" t="s">
        <v>639</v>
      </c>
      <c r="C33" s="51"/>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43">
        <f t="shared" si="6"/>
        <v>0</v>
      </c>
      <c r="O33" s="431"/>
      <c r="P33" s="432"/>
      <c r="Q33" s="342"/>
      <c r="R33" s="432"/>
      <c r="S33" s="554"/>
      <c r="U33" s="538" t="s">
        <v>1004</v>
      </c>
      <c r="V33" s="296"/>
      <c r="W33" s="296"/>
      <c r="X33" s="347">
        <f>(M19+M32)*-1</f>
        <v>239990</v>
      </c>
      <c r="Y33" s="420"/>
    </row>
    <row r="34" spans="1:28" s="50" customFormat="1">
      <c r="A34" s="293"/>
      <c r="B34" s="51" t="s">
        <v>640</v>
      </c>
      <c r="C34" s="51"/>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43">
        <f t="shared" si="6"/>
        <v>0</v>
      </c>
      <c r="O34" s="434" t="s">
        <v>1246</v>
      </c>
      <c r="P34" s="435"/>
      <c r="Q34" s="50" t="s">
        <v>218</v>
      </c>
      <c r="R34" s="433">
        <f>Input!$TJ$10</f>
        <v>-20421</v>
      </c>
      <c r="S34" s="555"/>
      <c r="U34" s="538" t="s">
        <v>1052</v>
      </c>
      <c r="V34" s="296"/>
      <c r="W34" s="296"/>
      <c r="X34" s="426">
        <f>(M24+M37)*-1</f>
        <v>0</v>
      </c>
      <c r="Y34" s="420"/>
    </row>
    <row r="35" spans="1:28" s="50" customFormat="1" ht="13.5" thickBot="1">
      <c r="A35" s="293"/>
      <c r="B35" s="51" t="s">
        <v>641</v>
      </c>
      <c r="C35" s="51"/>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43">
        <f t="shared" si="6"/>
        <v>0</v>
      </c>
      <c r="O35" s="436" t="s">
        <v>219</v>
      </c>
      <c r="P35" s="437"/>
      <c r="Q35" s="438">
        <f>Q30-Q32</f>
        <v>0</v>
      </c>
      <c r="R35" s="439">
        <f>R30-R34</f>
        <v>0</v>
      </c>
      <c r="S35" s="556"/>
      <c r="U35" s="621" t="s">
        <v>1053</v>
      </c>
      <c r="V35" s="221"/>
      <c r="W35" s="221"/>
      <c r="X35" s="627">
        <f>SUM(X33:X34)</f>
        <v>239990</v>
      </c>
      <c r="Y35" s="626"/>
    </row>
    <row r="36" spans="1:28" s="50" customFormat="1" ht="13.5" thickTop="1">
      <c r="A36" s="293"/>
      <c r="B36" s="536" t="s">
        <v>648</v>
      </c>
      <c r="C36" s="179"/>
      <c r="D36" s="541">
        <f>Input!$GB$10</f>
        <v>0</v>
      </c>
      <c r="E36" s="541">
        <f>Input!$GC$10</f>
        <v>134722</v>
      </c>
      <c r="F36" s="541">
        <f>Input!$GD$10</f>
        <v>0</v>
      </c>
      <c r="G36" s="541">
        <f>Input!$GE$10</f>
        <v>0</v>
      </c>
      <c r="H36" s="541">
        <f>Input!$GF$10</f>
        <v>0</v>
      </c>
      <c r="I36" s="541">
        <f>Input!$GG$10</f>
        <v>0</v>
      </c>
      <c r="J36" s="541">
        <f>Input!$GH$10</f>
        <v>0</v>
      </c>
      <c r="K36" s="541">
        <f>Input!$GI$10</f>
        <v>0</v>
      </c>
      <c r="L36" s="541">
        <f>Input!$GJ$10</f>
        <v>0</v>
      </c>
      <c r="M36" s="542">
        <f t="shared" si="6"/>
        <v>134722</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43">
        <f t="shared" si="6"/>
        <v>0</v>
      </c>
      <c r="O37" s="51"/>
      <c r="U37" s="538" t="s">
        <v>1054</v>
      </c>
      <c r="V37" s="296"/>
      <c r="W37" s="296"/>
      <c r="X37" s="426">
        <f>(M25+M38)*-1</f>
        <v>0</v>
      </c>
      <c r="Y37" s="626"/>
    </row>
    <row r="38" spans="1:28" s="50" customFormat="1">
      <c r="A38" s="293"/>
      <c r="B38" s="51" t="s">
        <v>644</v>
      </c>
      <c r="C38" s="180"/>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43">
        <f t="shared" si="6"/>
        <v>0</v>
      </c>
      <c r="O38" s="51"/>
      <c r="U38" s="621" t="s">
        <v>1055</v>
      </c>
      <c r="V38" s="221"/>
      <c r="W38" s="221"/>
      <c r="X38" s="627">
        <f>SUM(X36:X37)</f>
        <v>0</v>
      </c>
      <c r="Y38" s="420"/>
    </row>
    <row r="39" spans="1:28" s="50" customFormat="1">
      <c r="A39" s="293"/>
      <c r="B39" s="51" t="s">
        <v>645</v>
      </c>
      <c r="C39" s="180"/>
      <c r="D39" s="355">
        <f>Input!$HC$10</f>
        <v>0</v>
      </c>
      <c r="E39" s="355">
        <f>Input!$HD$10</f>
        <v>0</v>
      </c>
      <c r="F39" s="355">
        <f>Input!$HE$10</f>
        <v>0</v>
      </c>
      <c r="G39" s="355">
        <f>Input!$HF$10</f>
        <v>0</v>
      </c>
      <c r="H39" s="355">
        <f>Input!$HG$10</f>
        <v>0</v>
      </c>
      <c r="I39" s="355">
        <f>Input!$HH$10</f>
        <v>0</v>
      </c>
      <c r="J39" s="355">
        <f>Input!$HI$10</f>
        <v>0</v>
      </c>
      <c r="K39" s="355">
        <f>Input!$HJ$10</f>
        <v>0</v>
      </c>
      <c r="L39" s="355">
        <f>Input!$HK$10</f>
        <v>0</v>
      </c>
      <c r="M39" s="543">
        <f t="shared" si="6"/>
        <v>0</v>
      </c>
      <c r="O39" s="51"/>
      <c r="U39" s="538" t="s">
        <v>1007</v>
      </c>
      <c r="V39" s="296"/>
      <c r="W39" s="296"/>
      <c r="X39" s="347"/>
      <c r="Y39" s="420">
        <f>X38+X35</f>
        <v>239990</v>
      </c>
    </row>
    <row r="40" spans="1:28" s="50" customFormat="1">
      <c r="A40" s="293"/>
      <c r="B40" s="51" t="s">
        <v>646</v>
      </c>
      <c r="C40" s="180"/>
      <c r="D40" s="355">
        <f>Input!$HL$10</f>
        <v>0</v>
      </c>
      <c r="E40" s="355">
        <f>Input!$HM$10</f>
        <v>-2573</v>
      </c>
      <c r="F40" s="355">
        <f>Input!$HN$10</f>
        <v>0</v>
      </c>
      <c r="G40" s="355">
        <f>Input!$HO$10</f>
        <v>0</v>
      </c>
      <c r="H40" s="355">
        <f>Input!$HP$10</f>
        <v>0</v>
      </c>
      <c r="I40" s="355">
        <f>Input!$HQ$10</f>
        <v>0</v>
      </c>
      <c r="J40" s="355">
        <f>Input!$HR$10</f>
        <v>0</v>
      </c>
      <c r="K40" s="355">
        <f>Input!$HS$10</f>
        <v>0</v>
      </c>
      <c r="L40" s="355">
        <f>Input!$HT$10</f>
        <v>0</v>
      </c>
      <c r="M40" s="543">
        <f t="shared" si="6"/>
        <v>-2573</v>
      </c>
      <c r="O40" s="51"/>
      <c r="U40" s="538"/>
      <c r="V40" s="51"/>
      <c r="W40" s="51"/>
      <c r="X40" s="51"/>
      <c r="Y40" s="626"/>
    </row>
    <row r="41" spans="1:28" s="50" customFormat="1">
      <c r="A41" s="293"/>
      <c r="B41" s="51" t="s">
        <v>1361</v>
      </c>
      <c r="C41" s="180"/>
      <c r="D41" s="355">
        <f>Input!$HU$10</f>
        <v>0</v>
      </c>
      <c r="E41" s="355">
        <f>Input!$HV$10</f>
        <v>0</v>
      </c>
      <c r="F41" s="355">
        <f>Input!$HW$10</f>
        <v>0</v>
      </c>
      <c r="G41" s="355">
        <f>Input!$HX$10</f>
        <v>0</v>
      </c>
      <c r="H41" s="355">
        <f>Input!$HY$10</f>
        <v>0</v>
      </c>
      <c r="I41" s="355">
        <f>Input!$HZ$10</f>
        <v>0</v>
      </c>
      <c r="J41" s="355">
        <f>Input!$IA$10</f>
        <v>0</v>
      </c>
      <c r="K41" s="355">
        <f>Input!$IB$10</f>
        <v>0</v>
      </c>
      <c r="L41" s="355">
        <f>Input!$IC$10</f>
        <v>0</v>
      </c>
      <c r="M41" s="543">
        <f t="shared" si="6"/>
        <v>0</v>
      </c>
      <c r="O41"/>
      <c r="P41"/>
      <c r="Q41"/>
      <c r="R41"/>
      <c r="S41"/>
      <c r="U41" s="538" t="s">
        <v>1046</v>
      </c>
      <c r="V41" s="296"/>
      <c r="W41" s="296"/>
      <c r="X41" s="326">
        <f>(M21+M34)*-1</f>
        <v>0</v>
      </c>
      <c r="Y41" s="420"/>
    </row>
    <row r="42" spans="1:28" s="50" customFormat="1">
      <c r="A42" s="293"/>
      <c r="B42" s="551" t="s">
        <v>38</v>
      </c>
      <c r="C42" s="179"/>
      <c r="D42" s="356">
        <f t="shared" ref="D42:L42" si="7">SUM(D36:D41)</f>
        <v>0</v>
      </c>
      <c r="E42" s="356">
        <f t="shared" si="7"/>
        <v>132149</v>
      </c>
      <c r="F42" s="356">
        <f t="shared" si="7"/>
        <v>0</v>
      </c>
      <c r="G42" s="356">
        <f t="shared" si="7"/>
        <v>0</v>
      </c>
      <c r="H42" s="356">
        <f t="shared" si="7"/>
        <v>0</v>
      </c>
      <c r="I42" s="356">
        <f t="shared" si="7"/>
        <v>0</v>
      </c>
      <c r="J42" s="356">
        <f t="shared" si="7"/>
        <v>0</v>
      </c>
      <c r="K42" s="356">
        <f t="shared" si="7"/>
        <v>0</v>
      </c>
      <c r="L42" s="356">
        <f t="shared" si="7"/>
        <v>0</v>
      </c>
      <c r="M42" s="356">
        <f t="shared" si="6"/>
        <v>132149</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577545</v>
      </c>
      <c r="E44" s="356">
        <f t="shared" si="8"/>
        <v>535940</v>
      </c>
      <c r="F44" s="356">
        <f t="shared" si="8"/>
        <v>0</v>
      </c>
      <c r="G44" s="356">
        <f t="shared" si="8"/>
        <v>0</v>
      </c>
      <c r="H44" s="356">
        <f t="shared" si="8"/>
        <v>0</v>
      </c>
      <c r="I44" s="356">
        <f t="shared" si="8"/>
        <v>0</v>
      </c>
      <c r="J44" s="356">
        <f t="shared" si="8"/>
        <v>0</v>
      </c>
      <c r="K44" s="356">
        <f t="shared" si="8"/>
        <v>0</v>
      </c>
      <c r="L44" s="356">
        <f t="shared" si="8"/>
        <v>0</v>
      </c>
      <c r="M44" s="356">
        <f>D44+E44+F44+G44+H44+I44+J44+K44+L44</f>
        <v>1113485</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Input!$ID$10</f>
        <v>0</v>
      </c>
      <c r="E47" s="358">
        <f>Input!$IE$10</f>
        <v>56818666</v>
      </c>
      <c r="F47" s="358">
        <f>Input!$IF$10</f>
        <v>0</v>
      </c>
      <c r="G47" s="358">
        <f>Input!$IG$10</f>
        <v>118488957</v>
      </c>
      <c r="H47" s="358">
        <f>Input!$IH$10</f>
        <v>0</v>
      </c>
      <c r="I47" s="358">
        <f>Input!$II$10</f>
        <v>0</v>
      </c>
      <c r="J47" s="358">
        <f>Input!$IJ$10</f>
        <v>0</v>
      </c>
      <c r="K47" s="358">
        <f>Input!$IK$10</f>
        <v>0</v>
      </c>
      <c r="L47" s="358">
        <f>Input!$IL$10</f>
        <v>0</v>
      </c>
      <c r="M47" s="356">
        <f>D47+E47+F47+G47+H47+I47+J47+K47+L47</f>
        <v>175307623</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1373896</v>
      </c>
      <c r="Z49" s="50"/>
      <c r="AA49" s="50"/>
      <c r="AB49" s="50"/>
    </row>
    <row r="50" spans="1:28" s="149" customFormat="1">
      <c r="A50" s="147">
        <v>33</v>
      </c>
      <c r="B50" s="158" t="s">
        <v>56</v>
      </c>
      <c r="C50" s="158"/>
      <c r="D50" s="358">
        <f>Input!$IM$10</f>
        <v>0</v>
      </c>
      <c r="E50" s="358">
        <f>Input!$IN$10</f>
        <v>403758919</v>
      </c>
      <c r="F50" s="358">
        <f>Input!$IO$10</f>
        <v>0</v>
      </c>
      <c r="G50" s="358">
        <f>Input!$IP$10</f>
        <v>0</v>
      </c>
      <c r="H50" s="358">
        <f>Input!$IQ$10</f>
        <v>0</v>
      </c>
      <c r="I50" s="358">
        <f>Input!$IR$10</f>
        <v>0</v>
      </c>
      <c r="J50" s="358">
        <f>Input!$IS$10</f>
        <v>0</v>
      </c>
      <c r="K50" s="358">
        <f>Input!$IT$10</f>
        <v>0</v>
      </c>
      <c r="L50" s="358">
        <f>Input!$IU$10</f>
        <v>0</v>
      </c>
      <c r="M50" s="356">
        <f>D50+E50+F50+G50+H50+I50+J50+K50+L50</f>
        <v>403758919</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Input!$IV$10</f>
        <v>3680395600</v>
      </c>
      <c r="E53" s="358">
        <f>Input!$IW$10</f>
        <v>0</v>
      </c>
      <c r="F53" s="358">
        <f>Input!$IX$10</f>
        <v>0</v>
      </c>
      <c r="G53" s="358">
        <f>Input!$IY$10</f>
        <v>0</v>
      </c>
      <c r="H53" s="358">
        <f>Input!$IZ$10</f>
        <v>0</v>
      </c>
      <c r="I53" s="358">
        <f>Input!$JA$10</f>
        <v>0</v>
      </c>
      <c r="J53" s="358">
        <f>Input!$JB$10</f>
        <v>0</v>
      </c>
      <c r="K53" s="358">
        <f>Input!$JC$10</f>
        <v>0</v>
      </c>
      <c r="L53" s="358">
        <f>Input!$JD$10</f>
        <v>0</v>
      </c>
      <c r="M53" s="356">
        <f>D53+E53+F53+G53+H53+I53+J53+K53+L53</f>
        <v>3680395600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Input!$JE$10</f>
        <v>63358625</v>
      </c>
      <c r="E56" s="355">
        <f>Input!$JF$10</f>
        <v>114494561</v>
      </c>
      <c r="F56" s="355">
        <f>Input!$JG$10</f>
        <v>0</v>
      </c>
      <c r="G56" s="355">
        <f>Input!$JH$10</f>
        <v>25087955</v>
      </c>
      <c r="H56" s="355">
        <f>Input!$JI$10</f>
        <v>0</v>
      </c>
      <c r="I56" s="355">
        <f>Input!$JJ$10</f>
        <v>125770</v>
      </c>
      <c r="J56" s="355">
        <f>Input!$JK$10</f>
        <v>0</v>
      </c>
      <c r="K56" s="355">
        <f>Input!$JL$10</f>
        <v>0</v>
      </c>
      <c r="L56" s="355">
        <f>Input!$JM$10</f>
        <v>0</v>
      </c>
      <c r="M56" s="357">
        <f t="shared" ref="M56:M62" si="9">D56+E56+F56+G56+H56+I56+J56+K56+L56</f>
        <v>203066911</v>
      </c>
      <c r="O56" s="51"/>
      <c r="P56" s="50"/>
      <c r="Q56" s="50"/>
      <c r="R56" s="50"/>
      <c r="S56" s="50"/>
      <c r="T56" s="50"/>
      <c r="U56" s="50"/>
      <c r="V56" s="50"/>
      <c r="W56" s="50"/>
      <c r="X56" s="306"/>
      <c r="Y56" s="50"/>
      <c r="Z56" s="50"/>
      <c r="AA56" s="50"/>
      <c r="AB56" s="50"/>
    </row>
    <row r="57" spans="1:28" s="149" customFormat="1">
      <c r="A57" s="147">
        <v>40</v>
      </c>
      <c r="B57" s="149" t="s">
        <v>9</v>
      </c>
      <c r="D57" s="355">
        <f>Input!$JN$10</f>
        <v>0</v>
      </c>
      <c r="E57" s="355">
        <f>Input!$JO$10</f>
        <v>0</v>
      </c>
      <c r="F57" s="355">
        <f>Input!$JP$10</f>
        <v>0</v>
      </c>
      <c r="G57" s="355">
        <f>Input!$JQ$10</f>
        <v>0</v>
      </c>
      <c r="H57" s="355">
        <f>Input!$JR$10</f>
        <v>0</v>
      </c>
      <c r="I57" s="355">
        <f>Input!$JS$10</f>
        <v>0</v>
      </c>
      <c r="J57" s="355">
        <f>Input!$JT$10</f>
        <v>0</v>
      </c>
      <c r="K57" s="355">
        <f>Input!$JU$10</f>
        <v>0</v>
      </c>
      <c r="L57" s="355">
        <f>Input!$JV$10</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Input!$JW$10</f>
        <v>0</v>
      </c>
      <c r="E58" s="355">
        <f>Input!$JX$10</f>
        <v>51903686</v>
      </c>
      <c r="F58" s="355">
        <f>Input!$JY$10</f>
        <v>0</v>
      </c>
      <c r="G58" s="355">
        <f>Input!$JZ$10</f>
        <v>222463821</v>
      </c>
      <c r="H58" s="355">
        <f>Input!$KA$10</f>
        <v>0</v>
      </c>
      <c r="I58" s="355">
        <f>Input!$KB$10</f>
        <v>0</v>
      </c>
      <c r="J58" s="355">
        <f>Input!$KC$10</f>
        <v>5521</v>
      </c>
      <c r="K58" s="355">
        <f>Input!$KD$10</f>
        <v>0</v>
      </c>
      <c r="L58" s="355">
        <f>Input!$KE$10</f>
        <v>0</v>
      </c>
      <c r="M58" s="357">
        <f t="shared" si="9"/>
        <v>274373028</v>
      </c>
      <c r="O58" s="302"/>
      <c r="P58" s="50"/>
      <c r="Q58" s="50"/>
      <c r="R58" s="50"/>
      <c r="S58" s="50"/>
      <c r="T58" s="50"/>
      <c r="U58" s="50"/>
      <c r="V58" s="50"/>
      <c r="W58" s="50"/>
      <c r="X58" s="50"/>
      <c r="Y58" s="50"/>
      <c r="Z58" s="50"/>
      <c r="AA58" s="50"/>
      <c r="AB58" s="50"/>
    </row>
    <row r="59" spans="1:28" s="149" customFormat="1" ht="13.5" thickBot="1">
      <c r="A59" s="147">
        <v>42</v>
      </c>
      <c r="B59" s="149" t="s">
        <v>54</v>
      </c>
      <c r="D59" s="355">
        <f>Input!$KF$10</f>
        <v>0</v>
      </c>
      <c r="E59" s="355">
        <f>Input!$KG$10</f>
        <v>2031065</v>
      </c>
      <c r="F59" s="355">
        <f>Input!$KH$10</f>
        <v>0</v>
      </c>
      <c r="G59" s="355">
        <f>Input!$KI$10</f>
        <v>0</v>
      </c>
      <c r="H59" s="355">
        <f>Input!$KJ$10</f>
        <v>0</v>
      </c>
      <c r="I59" s="355">
        <f>Input!$KK$10</f>
        <v>0</v>
      </c>
      <c r="J59" s="355">
        <f>Input!$KL$10</f>
        <v>0</v>
      </c>
      <c r="K59" s="355">
        <f>Input!$KM$10</f>
        <v>0</v>
      </c>
      <c r="L59" s="355">
        <f>Input!$KN$10</f>
        <v>0</v>
      </c>
      <c r="M59" s="357">
        <f t="shared" si="9"/>
        <v>2031065</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Input!$KO$10</f>
        <v>0</v>
      </c>
      <c r="E60" s="355">
        <f>Input!$KP$10</f>
        <v>0</v>
      </c>
      <c r="F60" s="355">
        <f>Input!$KQ$10</f>
        <v>44292397</v>
      </c>
      <c r="G60" s="355">
        <f>Input!$KR$10</f>
        <v>0</v>
      </c>
      <c r="H60" s="355">
        <f>Input!$KS$10</f>
        <v>0</v>
      </c>
      <c r="I60" s="355">
        <f>Input!$KT$10</f>
        <v>0</v>
      </c>
      <c r="J60" s="355">
        <f>Input!$KU$10</f>
        <v>0</v>
      </c>
      <c r="K60" s="355">
        <f>Input!$KV$10</f>
        <v>0</v>
      </c>
      <c r="L60" s="355">
        <f>Input!$KW$10</f>
        <v>0</v>
      </c>
      <c r="M60" s="357">
        <f t="shared" si="9"/>
        <v>44292397</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Input!$KX$10</f>
        <v>11485104</v>
      </c>
      <c r="E61" s="355">
        <f>Input!$KY$10</f>
        <v>104868974</v>
      </c>
      <c r="F61" s="355">
        <f>Input!$KZ$10</f>
        <v>0</v>
      </c>
      <c r="G61" s="355">
        <f>Input!$LA$10</f>
        <v>3378046</v>
      </c>
      <c r="H61" s="355">
        <f>Input!$LB$10</f>
        <v>0</v>
      </c>
      <c r="I61" s="355">
        <f>Input!$LC$10</f>
        <v>0</v>
      </c>
      <c r="J61" s="355">
        <f>Input!$LD$10</f>
        <v>0</v>
      </c>
      <c r="K61" s="355">
        <f>Input!$LE$10</f>
        <v>0</v>
      </c>
      <c r="L61" s="355">
        <f>Input!$LF$10</f>
        <v>2322378</v>
      </c>
      <c r="M61" s="357">
        <f t="shared" si="9"/>
        <v>122054502</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74843729</v>
      </c>
      <c r="E62" s="356">
        <f t="shared" si="10"/>
        <v>273298286</v>
      </c>
      <c r="F62" s="356">
        <f t="shared" si="10"/>
        <v>44292397</v>
      </c>
      <c r="G62" s="356">
        <f t="shared" si="10"/>
        <v>250929822</v>
      </c>
      <c r="H62" s="356">
        <f t="shared" si="10"/>
        <v>0</v>
      </c>
      <c r="I62" s="356">
        <f t="shared" si="10"/>
        <v>125770</v>
      </c>
      <c r="J62" s="356">
        <f t="shared" si="10"/>
        <v>5521</v>
      </c>
      <c r="K62" s="356">
        <f t="shared" si="10"/>
        <v>0</v>
      </c>
      <c r="L62" s="356">
        <f t="shared" si="10"/>
        <v>2322378</v>
      </c>
      <c r="M62" s="356">
        <f t="shared" si="9"/>
        <v>645817903</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3966044850</v>
      </c>
      <c r="E63" s="356">
        <f t="shared" ref="E63:M63" si="11">E15+E44+E47+E50+E53+E62</f>
        <v>736721199</v>
      </c>
      <c r="F63" s="356">
        <f t="shared" si="11"/>
        <v>44292397</v>
      </c>
      <c r="G63" s="356">
        <f t="shared" si="11"/>
        <v>415378695</v>
      </c>
      <c r="H63" s="356">
        <f t="shared" si="11"/>
        <v>0</v>
      </c>
      <c r="I63" s="356">
        <f t="shared" si="11"/>
        <v>125770</v>
      </c>
      <c r="J63" s="356">
        <f t="shared" si="11"/>
        <v>5521</v>
      </c>
      <c r="K63" s="356">
        <f t="shared" si="11"/>
        <v>0</v>
      </c>
      <c r="L63" s="356">
        <f t="shared" si="11"/>
        <v>2322378</v>
      </c>
      <c r="M63" s="356">
        <f t="shared" si="11"/>
        <v>5164890810</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Input!$LG$10</f>
        <v>69040444</v>
      </c>
      <c r="E65" s="355">
        <f>Input!$LH$10</f>
        <v>4620097</v>
      </c>
      <c r="F65" s="355">
        <f>Input!$LI$10</f>
        <v>0</v>
      </c>
      <c r="G65" s="355">
        <f>Input!$LJ$10</f>
        <v>3673330</v>
      </c>
      <c r="H65" s="355">
        <f>Input!$LK$10</f>
        <v>0</v>
      </c>
      <c r="I65" s="355">
        <f>Input!$LL$10</f>
        <v>0</v>
      </c>
      <c r="J65" s="355">
        <f>Input!$LM$10</f>
        <v>0</v>
      </c>
      <c r="K65" s="355">
        <f>Input!$LN$10</f>
        <v>0</v>
      </c>
      <c r="L65" s="355">
        <f>Input!$LO$10</f>
        <v>0</v>
      </c>
      <c r="M65" s="357">
        <f t="shared" ref="M65:M77" si="12">D65+E65+F65+G65+H65+I65+J65+K65+L65</f>
        <v>77333871</v>
      </c>
      <c r="O65" s="310">
        <f>D65+E65+G65</f>
        <v>77333871</v>
      </c>
      <c r="P65" s="311">
        <f>Input!$TK$10</f>
        <v>244626</v>
      </c>
      <c r="Q65" s="311">
        <f>Input!$TU$10</f>
        <v>0</v>
      </c>
      <c r="R65" s="311">
        <f>Input!$UD$10</f>
        <v>0</v>
      </c>
      <c r="S65" s="312">
        <f>O65+P65-Q65-R65</f>
        <v>77578497</v>
      </c>
      <c r="T65" s="313"/>
      <c r="U65" s="494">
        <f>D65+E65+F65+G65+J65</f>
        <v>77333871</v>
      </c>
      <c r="V65" s="313"/>
      <c r="W65" s="314" t="s">
        <v>14</v>
      </c>
      <c r="X65" s="487">
        <f>Input!$UO$10</f>
        <v>77333871</v>
      </c>
      <c r="Y65" s="315">
        <f t="shared" ref="Y65:Y74" si="13">X65-M65</f>
        <v>0</v>
      </c>
      <c r="Z65" s="313"/>
      <c r="AA65" s="313"/>
      <c r="AB65" s="313"/>
    </row>
    <row r="66" spans="1:28" s="149" customFormat="1" ht="14.25" thickTop="1" thickBot="1">
      <c r="A66" s="147">
        <v>49</v>
      </c>
      <c r="B66" s="161" t="s">
        <v>15</v>
      </c>
      <c r="C66" s="161"/>
      <c r="D66" s="355">
        <f>Input!$LP$10</f>
        <v>211148881</v>
      </c>
      <c r="E66" s="355">
        <f>Input!$LQ$10</f>
        <v>97251113</v>
      </c>
      <c r="F66" s="355">
        <f>Input!$LR$10</f>
        <v>0</v>
      </c>
      <c r="G66" s="355">
        <f>Input!$LS$10</f>
        <v>442000868</v>
      </c>
      <c r="H66" s="355">
        <f>Input!$LT$10</f>
        <v>0</v>
      </c>
      <c r="I66" s="355">
        <f>Input!$LU$10</f>
        <v>0</v>
      </c>
      <c r="J66" s="355">
        <f>Input!$LV$10</f>
        <v>0</v>
      </c>
      <c r="K66" s="355">
        <f>Input!$LW$10</f>
        <v>0</v>
      </c>
      <c r="L66" s="355">
        <f>Input!$LX$10</f>
        <v>0</v>
      </c>
      <c r="M66" s="357">
        <f t="shared" si="12"/>
        <v>750400862</v>
      </c>
      <c r="O66" s="316">
        <f t="shared" ref="O66:O72" si="14">D66+E66+G66</f>
        <v>750400862</v>
      </c>
      <c r="P66" s="317">
        <f>Input!$TL$10</f>
        <v>27226187</v>
      </c>
      <c r="Q66" s="317">
        <f>Input!$TV$10</f>
        <v>1699462</v>
      </c>
      <c r="R66" s="317">
        <f>Input!$UE$10</f>
        <v>2018077</v>
      </c>
      <c r="S66" s="318">
        <f>O66+P66-Q66-R66</f>
        <v>773909510</v>
      </c>
      <c r="T66" s="313"/>
      <c r="U66" s="495">
        <f t="shared" ref="U66:U76" si="15">D66+E66+F66+G66+J66</f>
        <v>750400862</v>
      </c>
      <c r="V66" s="313"/>
      <c r="W66" s="314" t="s">
        <v>15</v>
      </c>
      <c r="X66" s="363">
        <f>Input!$UP$10</f>
        <v>750400862</v>
      </c>
      <c r="Y66" s="319">
        <f t="shared" si="13"/>
        <v>0</v>
      </c>
      <c r="Z66" s="320"/>
      <c r="AA66" s="320"/>
      <c r="AB66" s="320"/>
    </row>
    <row r="67" spans="1:28" s="149" customFormat="1" ht="13.5" thickTop="1">
      <c r="A67" s="147">
        <v>50</v>
      </c>
      <c r="B67" s="161" t="s">
        <v>16</v>
      </c>
      <c r="C67" s="161"/>
      <c r="D67" s="355">
        <f>Input!$LY$10</f>
        <v>1976968</v>
      </c>
      <c r="E67" s="355">
        <f>Input!$LZ$10</f>
        <v>7008584</v>
      </c>
      <c r="F67" s="355">
        <f>Input!$MA$10</f>
        <v>0</v>
      </c>
      <c r="G67" s="355">
        <f>Input!$MB$10</f>
        <v>6565260</v>
      </c>
      <c r="H67" s="355">
        <f>Input!$MC$10</f>
        <v>0</v>
      </c>
      <c r="I67" s="355">
        <f>Input!$MD$10</f>
        <v>0</v>
      </c>
      <c r="J67" s="355">
        <f>Input!$ME$10</f>
        <v>0</v>
      </c>
      <c r="K67" s="355">
        <f>Input!$MF$10</f>
        <v>0</v>
      </c>
      <c r="L67" s="355">
        <f>Input!$MG$10</f>
        <v>0</v>
      </c>
      <c r="M67" s="357">
        <f t="shared" si="12"/>
        <v>15550812</v>
      </c>
      <c r="O67" s="316">
        <f t="shared" si="14"/>
        <v>15550812</v>
      </c>
      <c r="P67" s="317">
        <f>Input!$TM$10</f>
        <v>0</v>
      </c>
      <c r="Q67" s="317">
        <f>Input!$TW$10</f>
        <v>0</v>
      </c>
      <c r="R67" s="317">
        <f>Input!$UF$10</f>
        <v>0</v>
      </c>
      <c r="S67" s="321">
        <f t="shared" ref="S67:S72" si="16">O67+P67-Q67-R67</f>
        <v>15550812</v>
      </c>
      <c r="T67" s="320"/>
      <c r="U67" s="495">
        <f t="shared" si="15"/>
        <v>15550812</v>
      </c>
      <c r="V67" s="320"/>
      <c r="W67" s="314" t="s">
        <v>16</v>
      </c>
      <c r="X67" s="363">
        <f>Input!$UQ$10</f>
        <v>15550812</v>
      </c>
      <c r="Y67" s="319">
        <f t="shared" si="13"/>
        <v>0</v>
      </c>
      <c r="Z67" s="320"/>
      <c r="AA67" s="320"/>
      <c r="AB67" s="320"/>
    </row>
    <row r="68" spans="1:28" s="149" customFormat="1">
      <c r="A68" s="147">
        <v>51</v>
      </c>
      <c r="B68" s="161" t="s">
        <v>55</v>
      </c>
      <c r="C68" s="161"/>
      <c r="D68" s="355">
        <f>Input!$MH$10</f>
        <v>2188785674</v>
      </c>
      <c r="E68" s="355">
        <f>Input!$MI$10</f>
        <v>530760215</v>
      </c>
      <c r="F68" s="355">
        <f>Input!$MJ$10</f>
        <v>0</v>
      </c>
      <c r="G68" s="355">
        <f>Input!$MK$10</f>
        <v>3578998</v>
      </c>
      <c r="H68" s="355">
        <f>Input!$ML$10</f>
        <v>0</v>
      </c>
      <c r="I68" s="355">
        <f>Input!$MM$10</f>
        <v>0</v>
      </c>
      <c r="J68" s="355">
        <f>Input!$MN$10</f>
        <v>0</v>
      </c>
      <c r="K68" s="355">
        <f>Input!$MO$10</f>
        <v>0</v>
      </c>
      <c r="L68" s="355">
        <f>Input!$MP$10</f>
        <v>0</v>
      </c>
      <c r="M68" s="357">
        <f t="shared" si="12"/>
        <v>2723124887</v>
      </c>
      <c r="O68" s="316">
        <f t="shared" si="14"/>
        <v>2723124887</v>
      </c>
      <c r="P68" s="317">
        <f>Input!$TN$10</f>
        <v>40970293</v>
      </c>
      <c r="Q68" s="317">
        <f>Input!$TX$10</f>
        <v>0</v>
      </c>
      <c r="R68" s="317">
        <f>Input!$UG$10</f>
        <v>0</v>
      </c>
      <c r="S68" s="321">
        <f t="shared" si="16"/>
        <v>2764095180</v>
      </c>
      <c r="T68" s="320"/>
      <c r="U68" s="495">
        <f t="shared" si="15"/>
        <v>2723124887</v>
      </c>
      <c r="V68" s="320"/>
      <c r="W68" s="314" t="s">
        <v>55</v>
      </c>
      <c r="X68" s="363">
        <f>Input!$UR$10</f>
        <v>2723124887</v>
      </c>
      <c r="Y68" s="319">
        <f t="shared" si="13"/>
        <v>0</v>
      </c>
      <c r="Z68" s="320"/>
      <c r="AA68" s="320"/>
      <c r="AB68" s="320"/>
    </row>
    <row r="69" spans="1:28" s="149" customFormat="1">
      <c r="A69" s="147">
        <v>52</v>
      </c>
      <c r="B69" s="161" t="s">
        <v>17</v>
      </c>
      <c r="C69" s="161"/>
      <c r="D69" s="355">
        <f>Input!$MQ$10</f>
        <v>137738530</v>
      </c>
      <c r="E69" s="355">
        <f>Input!$MR$10</f>
        <v>2591222</v>
      </c>
      <c r="F69" s="355">
        <f>Input!$MS$10</f>
        <v>0</v>
      </c>
      <c r="G69" s="355">
        <f>Input!$MT$10</f>
        <v>917942</v>
      </c>
      <c r="H69" s="355">
        <f>Input!$MU$10</f>
        <v>0</v>
      </c>
      <c r="I69" s="355">
        <f>Input!$MV$10</f>
        <v>0</v>
      </c>
      <c r="J69" s="355">
        <f>Input!$MW$10</f>
        <v>0</v>
      </c>
      <c r="K69" s="355">
        <f>Input!$MX$10</f>
        <v>0</v>
      </c>
      <c r="L69" s="355">
        <f>Input!$MY$10</f>
        <v>0</v>
      </c>
      <c r="M69" s="357">
        <f t="shared" si="12"/>
        <v>141247694</v>
      </c>
      <c r="O69" s="316">
        <f t="shared" si="14"/>
        <v>141247694</v>
      </c>
      <c r="P69" s="317">
        <f>Input!$TO$10</f>
        <v>69446</v>
      </c>
      <c r="Q69" s="317">
        <f>Input!$TY$10</f>
        <v>0</v>
      </c>
      <c r="R69" s="317">
        <f>Input!$UH$10</f>
        <v>0</v>
      </c>
      <c r="S69" s="321">
        <f t="shared" si="16"/>
        <v>141317140</v>
      </c>
      <c r="T69" s="320"/>
      <c r="U69" s="495">
        <f t="shared" si="15"/>
        <v>141247694</v>
      </c>
      <c r="V69" s="320"/>
      <c r="W69" s="314" t="s">
        <v>17</v>
      </c>
      <c r="X69" s="363">
        <f>Input!$US$10</f>
        <v>141247694</v>
      </c>
      <c r="Y69" s="319">
        <f t="shared" si="13"/>
        <v>0</v>
      </c>
      <c r="Z69" s="320"/>
      <c r="AA69" s="320"/>
      <c r="AB69" s="320"/>
    </row>
    <row r="70" spans="1:28" s="149" customFormat="1">
      <c r="A70" s="147">
        <v>53</v>
      </c>
      <c r="B70" s="161" t="s">
        <v>18</v>
      </c>
      <c r="C70" s="161"/>
      <c r="D70" s="355">
        <f>Input!$MZ$10</f>
        <v>271580</v>
      </c>
      <c r="E70" s="355">
        <f>Input!$NA$10</f>
        <v>0</v>
      </c>
      <c r="F70" s="355">
        <f>Input!$NB$10</f>
        <v>0</v>
      </c>
      <c r="G70" s="355">
        <f>Input!$NC$10</f>
        <v>0</v>
      </c>
      <c r="H70" s="355">
        <f>Input!$ND$10</f>
        <v>0</v>
      </c>
      <c r="I70" s="355">
        <f>Input!$NE$10</f>
        <v>0</v>
      </c>
      <c r="J70" s="355">
        <f>Input!$NF$10</f>
        <v>0</v>
      </c>
      <c r="K70" s="355">
        <f>Input!$NG$10</f>
        <v>0</v>
      </c>
      <c r="L70" s="355">
        <f>Input!$NH$10</f>
        <v>0</v>
      </c>
      <c r="M70" s="357">
        <f t="shared" si="12"/>
        <v>271580</v>
      </c>
      <c r="O70" s="316">
        <f t="shared" si="14"/>
        <v>271580</v>
      </c>
      <c r="P70" s="317">
        <f>Input!$TP$10</f>
        <v>225076</v>
      </c>
      <c r="Q70" s="317">
        <f>Input!$TZ$10</f>
        <v>0</v>
      </c>
      <c r="R70" s="317">
        <f>Input!$UI$10</f>
        <v>0</v>
      </c>
      <c r="S70" s="321">
        <f t="shared" si="16"/>
        <v>496656</v>
      </c>
      <c r="T70" s="320"/>
      <c r="U70" s="495">
        <f t="shared" si="15"/>
        <v>271580</v>
      </c>
      <c r="V70" s="320"/>
      <c r="W70" s="314" t="s">
        <v>18</v>
      </c>
      <c r="X70" s="363">
        <f>Input!$UT$10</f>
        <v>271580</v>
      </c>
      <c r="Y70" s="319">
        <f t="shared" si="13"/>
        <v>0</v>
      </c>
      <c r="Z70" s="320"/>
      <c r="AA70" s="320"/>
      <c r="AB70" s="320"/>
    </row>
    <row r="71" spans="1:28" s="149" customFormat="1">
      <c r="A71" s="147">
        <v>54</v>
      </c>
      <c r="B71" s="161" t="s">
        <v>19</v>
      </c>
      <c r="C71" s="161"/>
      <c r="D71" s="355">
        <f>Input!$NI$10</f>
        <v>107499763</v>
      </c>
      <c r="E71" s="355">
        <f>Input!$NJ$10</f>
        <v>22997005</v>
      </c>
      <c r="F71" s="355">
        <f>Input!$NK$10</f>
        <v>0</v>
      </c>
      <c r="G71" s="355">
        <f>Input!$NL$10</f>
        <v>2033638</v>
      </c>
      <c r="H71" s="355">
        <f>Input!$NM$10</f>
        <v>0</v>
      </c>
      <c r="I71" s="355">
        <f>Input!$NN$10</f>
        <v>0</v>
      </c>
      <c r="J71" s="355">
        <f>Input!$NO$10</f>
        <v>0</v>
      </c>
      <c r="K71" s="355">
        <f>Input!$NP$10</f>
        <v>0</v>
      </c>
      <c r="L71" s="355">
        <f>Input!$NQ$10</f>
        <v>0</v>
      </c>
      <c r="M71" s="357">
        <f t="shared" si="12"/>
        <v>132530406</v>
      </c>
      <c r="O71" s="316">
        <f t="shared" si="14"/>
        <v>132530406</v>
      </c>
      <c r="P71" s="317">
        <f>Input!$TQ$10</f>
        <v>11763612</v>
      </c>
      <c r="Q71" s="317">
        <f>Input!$UA$10</f>
        <v>107248</v>
      </c>
      <c r="R71" s="317">
        <f>Input!$UJ$10</f>
        <v>0</v>
      </c>
      <c r="S71" s="321">
        <f t="shared" si="16"/>
        <v>144186770</v>
      </c>
      <c r="T71" s="320"/>
      <c r="U71" s="495">
        <f t="shared" si="15"/>
        <v>132530406</v>
      </c>
      <c r="V71" s="320"/>
      <c r="W71" s="314" t="s">
        <v>19</v>
      </c>
      <c r="X71" s="363">
        <f>Input!$UU$10</f>
        <v>132530406</v>
      </c>
      <c r="Y71" s="319">
        <f t="shared" si="13"/>
        <v>0</v>
      </c>
      <c r="Z71" s="320"/>
      <c r="AA71" s="320"/>
      <c r="AB71" s="320"/>
    </row>
    <row r="72" spans="1:28" s="149" customFormat="1">
      <c r="A72" s="147">
        <v>55</v>
      </c>
      <c r="B72" s="161" t="s">
        <v>20</v>
      </c>
      <c r="C72" s="161"/>
      <c r="D72" s="355">
        <f>Input!$NR$10</f>
        <v>206866393</v>
      </c>
      <c r="E72" s="355">
        <f>Input!$NS$10</f>
        <v>334038</v>
      </c>
      <c r="F72" s="355">
        <f>Input!$NT$10</f>
        <v>0</v>
      </c>
      <c r="G72" s="355">
        <f>Input!$NU$10</f>
        <v>202166</v>
      </c>
      <c r="H72" s="355">
        <f>Input!$NV$10</f>
        <v>0</v>
      </c>
      <c r="I72" s="355">
        <f>Input!$NW$10</f>
        <v>0</v>
      </c>
      <c r="J72" s="355">
        <f>Input!$NX$10</f>
        <v>0</v>
      </c>
      <c r="K72" s="355">
        <f>Input!$NY$10</f>
        <v>0</v>
      </c>
      <c r="L72" s="355">
        <f>Input!$NZ$10</f>
        <v>0</v>
      </c>
      <c r="M72" s="357">
        <f t="shared" si="12"/>
        <v>207402597</v>
      </c>
      <c r="O72" s="316">
        <f t="shared" si="14"/>
        <v>207402597</v>
      </c>
      <c r="P72" s="317">
        <f>Input!$TR$10</f>
        <v>564853</v>
      </c>
      <c r="Q72" s="317">
        <f>Input!$UB$10</f>
        <v>0</v>
      </c>
      <c r="R72" s="317">
        <f>Input!$UK$10</f>
        <v>0</v>
      </c>
      <c r="S72" s="321">
        <f t="shared" si="16"/>
        <v>207967450</v>
      </c>
      <c r="T72" s="320"/>
      <c r="U72" s="495">
        <f t="shared" si="15"/>
        <v>207402597</v>
      </c>
      <c r="V72" s="320"/>
      <c r="W72" s="314" t="s">
        <v>184</v>
      </c>
      <c r="X72" s="363">
        <f>Input!$UV$10</f>
        <v>207402597</v>
      </c>
      <c r="Y72" s="319">
        <f t="shared" si="13"/>
        <v>0</v>
      </c>
      <c r="Z72" s="320"/>
      <c r="AA72" s="320"/>
      <c r="AB72" s="320"/>
    </row>
    <row r="73" spans="1:28" s="149" customFormat="1" ht="13.5" thickBot="1">
      <c r="A73" s="147">
        <v>56</v>
      </c>
      <c r="B73" s="161" t="s">
        <v>21</v>
      </c>
      <c r="C73" s="161"/>
      <c r="D73" s="355">
        <f>Input!$OA$10</f>
        <v>97972</v>
      </c>
      <c r="E73" s="355">
        <f>Input!$OB$10</f>
        <v>551858</v>
      </c>
      <c r="F73" s="355">
        <f>Input!$OC$10</f>
        <v>0</v>
      </c>
      <c r="G73" s="355">
        <f>Input!$OD$10</f>
        <v>2162892</v>
      </c>
      <c r="H73" s="355">
        <f>Input!$OE$10</f>
        <v>0</v>
      </c>
      <c r="I73" s="355">
        <f>Input!$OF$10</f>
        <v>0</v>
      </c>
      <c r="J73" s="355">
        <f>Input!$OG$10</f>
        <v>0</v>
      </c>
      <c r="K73" s="355">
        <f>Input!$OH$10</f>
        <v>0</v>
      </c>
      <c r="L73" s="355">
        <f>Input!$OI$10</f>
        <v>0</v>
      </c>
      <c r="M73" s="357">
        <f t="shared" si="12"/>
        <v>2812722</v>
      </c>
      <c r="O73" s="322">
        <f>D73+E73+G73</f>
        <v>2812722</v>
      </c>
      <c r="P73" s="317">
        <f>Input!$TS$10</f>
        <v>490883</v>
      </c>
      <c r="Q73" s="323">
        <f>Input!$UC$10</f>
        <v>0</v>
      </c>
      <c r="R73" s="323">
        <f>Input!$UL$10</f>
        <v>0</v>
      </c>
      <c r="S73" s="324">
        <f>O73+P73-Q73-R73</f>
        <v>3303605</v>
      </c>
      <c r="T73" s="325"/>
      <c r="U73" s="495">
        <f t="shared" si="15"/>
        <v>2812722</v>
      </c>
      <c r="V73" s="325"/>
      <c r="W73" s="314" t="s">
        <v>21</v>
      </c>
      <c r="X73" s="363">
        <f>Input!$UW$10</f>
        <v>2812722</v>
      </c>
      <c r="Y73" s="319">
        <f t="shared" si="13"/>
        <v>0</v>
      </c>
      <c r="Z73" s="320"/>
      <c r="AA73" s="320"/>
      <c r="AB73" s="320"/>
    </row>
    <row r="74" spans="1:28" s="149" customFormat="1" ht="13.5" thickTop="1">
      <c r="A74" s="147">
        <v>57</v>
      </c>
      <c r="B74" s="161" t="s">
        <v>1363</v>
      </c>
      <c r="C74" s="161"/>
      <c r="D74" s="355">
        <f>Input!$OJ$10</f>
        <v>0</v>
      </c>
      <c r="E74" s="355">
        <f>Input!$OK$10</f>
        <v>0</v>
      </c>
      <c r="F74" s="355">
        <f>Input!$OL$10</f>
        <v>22631517</v>
      </c>
      <c r="G74" s="355">
        <f>Input!$OM$10</f>
        <v>0</v>
      </c>
      <c r="H74" s="355">
        <f>Input!$ON$10</f>
        <v>0</v>
      </c>
      <c r="I74" s="355">
        <f>Input!$OO$10</f>
        <v>0</v>
      </c>
      <c r="J74" s="355">
        <f>Input!$OP$10</f>
        <v>0</v>
      </c>
      <c r="K74" s="355">
        <f>Input!$OQ$10</f>
        <v>0</v>
      </c>
      <c r="L74" s="355">
        <f>Input!$OR$10</f>
        <v>0</v>
      </c>
      <c r="M74" s="357">
        <f t="shared" si="12"/>
        <v>22631517</v>
      </c>
      <c r="O74" s="326"/>
      <c r="P74" s="858">
        <f>Input!$TT$10</f>
        <v>304227</v>
      </c>
      <c r="Q74" s="327"/>
      <c r="R74" s="328"/>
      <c r="S74" s="329">
        <f>SUM(S65:S73)</f>
        <v>4128405620</v>
      </c>
      <c r="T74" s="328"/>
      <c r="U74" s="495">
        <f t="shared" si="15"/>
        <v>22631517</v>
      </c>
      <c r="V74" s="328"/>
      <c r="W74" s="314" t="s">
        <v>22</v>
      </c>
      <c r="X74" s="363">
        <f>Input!$UX$10</f>
        <v>22631517</v>
      </c>
      <c r="Y74" s="319">
        <f t="shared" si="13"/>
        <v>0</v>
      </c>
      <c r="Z74" s="320"/>
      <c r="AA74" s="320"/>
      <c r="AB74" s="320"/>
    </row>
    <row r="75" spans="1:28" s="149" customFormat="1">
      <c r="A75" s="147">
        <v>58</v>
      </c>
      <c r="B75" s="162" t="s">
        <v>62</v>
      </c>
      <c r="C75" s="162"/>
      <c r="D75" s="355">
        <f>Input!$OS$10</f>
        <v>55984277</v>
      </c>
      <c r="E75" s="355">
        <f>Input!$OT$10</f>
        <v>16676924</v>
      </c>
      <c r="F75" s="355">
        <f>Input!$OU$10</f>
        <v>304227</v>
      </c>
      <c r="G75" s="355">
        <f>Input!$OV$10</f>
        <v>8893775</v>
      </c>
      <c r="H75" s="355">
        <f>Input!$OW$10</f>
        <v>0</v>
      </c>
      <c r="I75" s="355">
        <f>Input!$OX$10</f>
        <v>0</v>
      </c>
      <c r="J75" s="355">
        <f>Input!$OY$10</f>
        <v>0</v>
      </c>
      <c r="K75" s="355">
        <f>Input!$OZ$10</f>
        <v>0</v>
      </c>
      <c r="L75" s="355">
        <f>Input!$PA$10</f>
        <v>0</v>
      </c>
      <c r="M75" s="357">
        <f t="shared" si="12"/>
        <v>81859203</v>
      </c>
      <c r="O75" s="326"/>
      <c r="P75" s="326">
        <f>SUM(P65:P74)</f>
        <v>81859203</v>
      </c>
      <c r="Q75" s="327" t="s">
        <v>185</v>
      </c>
      <c r="R75" s="328"/>
      <c r="S75" s="330"/>
      <c r="T75" s="328"/>
      <c r="U75" s="495">
        <f t="shared" si="15"/>
        <v>81859203</v>
      </c>
      <c r="V75" s="328"/>
      <c r="W75" s="314" t="s">
        <v>186</v>
      </c>
      <c r="X75" s="331">
        <f>M93*-1</f>
        <v>365027967</v>
      </c>
      <c r="Y75" s="319">
        <f>X75+M93</f>
        <v>0</v>
      </c>
      <c r="Z75" s="332"/>
      <c r="AA75" s="332"/>
      <c r="AB75" s="332"/>
    </row>
    <row r="76" spans="1:28" s="149" customFormat="1" ht="13.5" thickBot="1">
      <c r="A76" s="147">
        <v>59</v>
      </c>
      <c r="B76" s="163" t="s">
        <v>42</v>
      </c>
      <c r="C76" s="163"/>
      <c r="D76" s="359">
        <f>Input!$PB$10</f>
        <v>49332</v>
      </c>
      <c r="E76" s="359">
        <f>Input!$PC$10</f>
        <v>1028324</v>
      </c>
      <c r="F76" s="359">
        <f>Input!$PD$10</f>
        <v>0</v>
      </c>
      <c r="G76" s="359">
        <f>Input!$PE$10</f>
        <v>0</v>
      </c>
      <c r="H76" s="359">
        <f>Input!$PF$10</f>
        <v>0</v>
      </c>
      <c r="I76" s="359">
        <f>Input!$PG$10</f>
        <v>0</v>
      </c>
      <c r="J76" s="359">
        <f>Input!$PH$10</f>
        <v>0</v>
      </c>
      <c r="K76" s="359">
        <f>Input!$PI$10</f>
        <v>0</v>
      </c>
      <c r="L76" s="359">
        <f>Input!$PJ$10</f>
        <v>2865166</v>
      </c>
      <c r="M76" s="357">
        <f t="shared" si="12"/>
        <v>3942822</v>
      </c>
      <c r="O76" s="326"/>
      <c r="P76" s="484" t="str">
        <f>IF(P75&lt;&gt;M75,"Out of Balance","Balanced")</f>
        <v>Balanced</v>
      </c>
      <c r="Q76" s="1322" t="s">
        <v>187</v>
      </c>
      <c r="R76" s="1323"/>
      <c r="S76" s="412">
        <f>Input!$UM$10</f>
        <v>7467530259</v>
      </c>
      <c r="T76" s="333"/>
      <c r="U76" s="496">
        <f t="shared" si="15"/>
        <v>1077656</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2979459814</v>
      </c>
      <c r="E77" s="356">
        <f t="shared" si="17"/>
        <v>683819380</v>
      </c>
      <c r="F77" s="356">
        <f t="shared" si="17"/>
        <v>22935744</v>
      </c>
      <c r="G77" s="356">
        <f t="shared" si="17"/>
        <v>470028869</v>
      </c>
      <c r="H77" s="356">
        <f t="shared" si="17"/>
        <v>0</v>
      </c>
      <c r="I77" s="356">
        <f t="shared" si="17"/>
        <v>0</v>
      </c>
      <c r="J77" s="356">
        <f t="shared" si="17"/>
        <v>0</v>
      </c>
      <c r="K77" s="356">
        <f t="shared" si="17"/>
        <v>0</v>
      </c>
      <c r="L77" s="356">
        <f t="shared" si="17"/>
        <v>2865166</v>
      </c>
      <c r="M77" s="356">
        <f t="shared" si="12"/>
        <v>4159108973</v>
      </c>
      <c r="O77" s="50"/>
      <c r="P77" s="326"/>
      <c r="Q77" s="334" t="s">
        <v>188</v>
      </c>
      <c r="R77" s="335"/>
      <c r="S77" s="413">
        <f>Input!$UN$10</f>
        <v>3787134659</v>
      </c>
      <c r="T77" s="336"/>
      <c r="U77" s="497">
        <f>SUM(U65:U76)</f>
        <v>4156243807</v>
      </c>
      <c r="V77" s="336"/>
      <c r="W77" s="336"/>
      <c r="X77" s="337">
        <f>SUM(X65:X76)</f>
        <v>4438334915</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448010020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Input!$PK$10</f>
        <v>0</v>
      </c>
      <c r="E80" s="355">
        <f>Input!$PL$10</f>
        <v>0</v>
      </c>
      <c r="F80" s="355">
        <f>Input!$PM$10</f>
        <v>0</v>
      </c>
      <c r="G80" s="355">
        <f>Input!$PN$10</f>
        <v>0</v>
      </c>
      <c r="H80" s="355">
        <f>Input!$PO$10</f>
        <v>0</v>
      </c>
      <c r="I80" s="355">
        <f>Input!$PP$10</f>
        <v>0</v>
      </c>
      <c r="J80" s="355">
        <f>Input!$PQ$10</f>
        <v>-290306993</v>
      </c>
      <c r="K80" s="355">
        <f>Input!$PR$10</f>
        <v>0</v>
      </c>
      <c r="L80" s="355">
        <f>Input!$PS$10</f>
        <v>0</v>
      </c>
      <c r="M80" s="357">
        <f>D80+E80+F80+G80+H80+I80+J80+K80+L80</f>
        <v>-290306993</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Input!$PT$10</f>
        <v>-370021485</v>
      </c>
      <c r="E81" s="355">
        <f>Input!$PU$10</f>
        <v>7523567</v>
      </c>
      <c r="F81" s="355">
        <f>Input!$PV$10</f>
        <v>-743</v>
      </c>
      <c r="G81" s="355">
        <f>Input!$PW$10</f>
        <v>9582886</v>
      </c>
      <c r="H81" s="355">
        <f>Input!$PX$10</f>
        <v>0</v>
      </c>
      <c r="I81" s="355">
        <f>Input!$PY$10</f>
        <v>7586931</v>
      </c>
      <c r="J81" s="355">
        <f>Input!$PZ$10</f>
        <v>401557776</v>
      </c>
      <c r="K81" s="355">
        <f>Input!$QA$10</f>
        <v>0</v>
      </c>
      <c r="L81" s="355">
        <f>Input!$QB$10</f>
        <v>-1257865</v>
      </c>
      <c r="M81" s="357">
        <f>D81+E81+F81+G81+H81+I81+J81+K81+L81</f>
        <v>54971067</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Input!$QC$10</f>
        <v>0</v>
      </c>
      <c r="E82" s="355">
        <f>Input!$QD$10</f>
        <v>0</v>
      </c>
      <c r="F82" s="355">
        <f>Input!$QE$10</f>
        <v>0</v>
      </c>
      <c r="G82" s="355">
        <f>Input!$QF$10</f>
        <v>0</v>
      </c>
      <c r="H82" s="355">
        <f>Input!$QG$10</f>
        <v>0</v>
      </c>
      <c r="I82" s="355">
        <f>Input!$QH$10</f>
        <v>0</v>
      </c>
      <c r="J82" s="355">
        <f>Input!$QI$10</f>
        <v>55322379</v>
      </c>
      <c r="K82" s="355">
        <f>Input!$QJ$10</f>
        <v>0</v>
      </c>
      <c r="L82" s="355">
        <f>Input!$QK$10</f>
        <v>0</v>
      </c>
      <c r="M82" s="357">
        <f>D82+E82+F82+G82+H82+I82+J82+K82+L82</f>
        <v>55322379</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Input!$QL$10</f>
        <v>-79218248</v>
      </c>
      <c r="E83" s="355">
        <f>Input!$QM$10</f>
        <v>0</v>
      </c>
      <c r="F83" s="355">
        <f>Input!$QN$10</f>
        <v>-9508534</v>
      </c>
      <c r="G83" s="355">
        <f>Input!$QO$10</f>
        <v>0</v>
      </c>
      <c r="H83" s="355">
        <f>Input!$QP$10</f>
        <v>0</v>
      </c>
      <c r="I83" s="355">
        <f>Input!$QQ$10</f>
        <v>0</v>
      </c>
      <c r="J83" s="355">
        <f>Input!$QR$10</f>
        <v>0</v>
      </c>
      <c r="K83" s="355">
        <f>Input!$QS$10</f>
        <v>0</v>
      </c>
      <c r="L83" s="355">
        <f>Input!$QT$10</f>
        <v>0</v>
      </c>
      <c r="M83" s="357">
        <f>D83+E83+F83+G83+H83+I83+J83+K83+L83</f>
        <v>-88726782</v>
      </c>
      <c r="O83" s="346"/>
      <c r="P83" s="458" t="s">
        <v>596</v>
      </c>
      <c r="Q83" s="459"/>
      <c r="R83" s="460"/>
      <c r="S83" s="461">
        <f>IF(M91&lt;0,"N/A",M91)</f>
        <v>812346003</v>
      </c>
      <c r="T83" s="326"/>
      <c r="U83" s="343"/>
      <c r="V83" s="305"/>
      <c r="W83" s="305"/>
      <c r="X83" s="343"/>
      <c r="Y83" s="343"/>
      <c r="Z83" s="305"/>
      <c r="AA83" s="305"/>
      <c r="AB83" s="305"/>
    </row>
    <row r="84" spans="1:28" s="149" customFormat="1">
      <c r="A84" s="147">
        <v>67</v>
      </c>
      <c r="B84" s="164" t="s">
        <v>3</v>
      </c>
      <c r="C84" s="164"/>
      <c r="D84" s="356">
        <f t="shared" ref="D84:L84" si="18">SUM(D80:D83)</f>
        <v>-449239733</v>
      </c>
      <c r="E84" s="356">
        <f t="shared" si="18"/>
        <v>7523567</v>
      </c>
      <c r="F84" s="356">
        <f t="shared" si="18"/>
        <v>-9509277</v>
      </c>
      <c r="G84" s="356">
        <f t="shared" si="18"/>
        <v>9582886</v>
      </c>
      <c r="H84" s="356">
        <f t="shared" si="18"/>
        <v>0</v>
      </c>
      <c r="I84" s="356">
        <f t="shared" si="18"/>
        <v>7586931</v>
      </c>
      <c r="J84" s="356">
        <f t="shared" si="18"/>
        <v>166573162</v>
      </c>
      <c r="K84" s="356">
        <f t="shared" si="18"/>
        <v>0</v>
      </c>
      <c r="L84" s="356">
        <f t="shared" si="18"/>
        <v>-1257865</v>
      </c>
      <c r="M84" s="356">
        <f>D84+E84+F84+G84+H84+I84+J84+K84+L84</f>
        <v>-268740329</v>
      </c>
      <c r="O84" s="346"/>
      <c r="P84" s="462" t="s">
        <v>597</v>
      </c>
      <c r="Q84" s="347"/>
      <c r="R84" s="347"/>
      <c r="S84" s="492">
        <f>Input!$UY$10</f>
        <v>737041508</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75304495</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Input!$QU$10</f>
        <v>-1026026</v>
      </c>
      <c r="E87" s="355">
        <f>Input!$QV$10</f>
        <v>7955686</v>
      </c>
      <c r="F87" s="355">
        <f>Input!$QW$10</f>
        <v>0</v>
      </c>
      <c r="G87" s="355">
        <f>Input!$QX$10</f>
        <v>0</v>
      </c>
      <c r="H87" s="355">
        <f>Input!$QY$10</f>
        <v>0</v>
      </c>
      <c r="I87" s="355">
        <f>Input!$QZ$10</f>
        <v>57348652</v>
      </c>
      <c r="J87" s="355">
        <f>Input!$RA$10</f>
        <v>0</v>
      </c>
      <c r="K87" s="355">
        <f>Input!$RB$10</f>
        <v>0</v>
      </c>
      <c r="L87" s="355">
        <f>Input!$RC$10</f>
        <v>0</v>
      </c>
      <c r="M87" s="357">
        <f>D87+E87+F87+G87+H87+I87+J87+K87+L87</f>
        <v>64278312</v>
      </c>
      <c r="O87" s="51"/>
      <c r="P87" s="467" t="s">
        <v>599</v>
      </c>
      <c r="Q87" s="305"/>
      <c r="R87" s="347"/>
      <c r="S87" s="463">
        <f>Input!$UZ$10</f>
        <v>64278312</v>
      </c>
      <c r="T87" s="50"/>
      <c r="U87" s="50"/>
      <c r="V87" s="50"/>
      <c r="W87" s="305"/>
      <c r="X87" s="343"/>
      <c r="Y87" s="343"/>
      <c r="Z87" s="305"/>
      <c r="AA87" s="305"/>
      <c r="AB87" s="305"/>
    </row>
    <row r="88" spans="1:28" s="149" customFormat="1">
      <c r="A88" s="147">
        <v>71</v>
      </c>
      <c r="B88" s="149" t="s">
        <v>45</v>
      </c>
      <c r="D88" s="355">
        <f>Input!$RD$10</f>
        <v>0</v>
      </c>
      <c r="E88" s="355">
        <f>Input!$RE$10</f>
        <v>0</v>
      </c>
      <c r="F88" s="355">
        <f>Input!$RF$10</f>
        <v>0</v>
      </c>
      <c r="G88" s="355">
        <f>Input!$RG$10</f>
        <v>330468</v>
      </c>
      <c r="H88" s="355">
        <f>Input!$RH$10</f>
        <v>0</v>
      </c>
      <c r="I88" s="355">
        <f>Input!$RI$10</f>
        <v>10695715</v>
      </c>
      <c r="J88" s="355">
        <f>Input!$RJ$10</f>
        <v>0</v>
      </c>
      <c r="K88" s="355">
        <f>Input!$RK$10</f>
        <v>0</v>
      </c>
      <c r="L88" s="355">
        <f>Input!$RL$10</f>
        <v>0</v>
      </c>
      <c r="M88" s="357">
        <f>D88+E88+F88+G88+H88+I88+J88+K88+L88</f>
        <v>11026183</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-1026026</v>
      </c>
      <c r="E89" s="356">
        <f t="shared" si="19"/>
        <v>7955686</v>
      </c>
      <c r="F89" s="356">
        <f t="shared" si="19"/>
        <v>0</v>
      </c>
      <c r="G89" s="356">
        <f t="shared" si="19"/>
        <v>330468</v>
      </c>
      <c r="H89" s="356">
        <f t="shared" si="19"/>
        <v>0</v>
      </c>
      <c r="I89" s="356">
        <f t="shared" si="19"/>
        <v>68044367</v>
      </c>
      <c r="J89" s="356">
        <f t="shared" si="19"/>
        <v>0</v>
      </c>
      <c r="K89" s="356">
        <f t="shared" si="19"/>
        <v>0</v>
      </c>
      <c r="L89" s="356">
        <f t="shared" si="19"/>
        <v>0</v>
      </c>
      <c r="M89" s="356">
        <f>D89+E89+F89+G89+H89+I89+J89+K89+L89</f>
        <v>75304495</v>
      </c>
      <c r="O89" s="51"/>
      <c r="P89" s="470" t="s">
        <v>601</v>
      </c>
      <c r="Q89" s="305"/>
      <c r="R89" s="305"/>
      <c r="S89" s="464">
        <f>IFERROR(S85-S87,"")</f>
        <v>11026183</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536319277</v>
      </c>
      <c r="E91" s="356">
        <f t="shared" si="20"/>
        <v>68381072</v>
      </c>
      <c r="F91" s="356">
        <f t="shared" si="20"/>
        <v>11847376</v>
      </c>
      <c r="G91" s="356">
        <f t="shared" si="20"/>
        <v>-44736820</v>
      </c>
      <c r="H91" s="356">
        <f t="shared" si="20"/>
        <v>0</v>
      </c>
      <c r="I91" s="356">
        <f t="shared" si="20"/>
        <v>75757068</v>
      </c>
      <c r="J91" s="356">
        <f t="shared" si="20"/>
        <v>166578683</v>
      </c>
      <c r="K91" s="356">
        <f t="shared" si="20"/>
        <v>0</v>
      </c>
      <c r="L91" s="356">
        <f>L63-L77+L84+L89</f>
        <v>-1800653</v>
      </c>
      <c r="M91" s="356">
        <f>D91+E91+F91+G91+H91+I91+J91+K91+L91</f>
        <v>812346003</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Input!$RM$10</f>
        <v>0</v>
      </c>
      <c r="E93" s="355">
        <f>Input!$RN$10</f>
        <v>0</v>
      </c>
      <c r="F93" s="355">
        <f>Input!$RO$10</f>
        <v>0</v>
      </c>
      <c r="G93" s="355">
        <f>Input!$RP$10</f>
        <v>0</v>
      </c>
      <c r="H93" s="355">
        <f>Input!$RQ$10</f>
        <v>0</v>
      </c>
      <c r="I93" s="355">
        <f>Input!$RR$10</f>
        <v>0</v>
      </c>
      <c r="J93" s="355">
        <f>Input!$RS$10</f>
        <v>0</v>
      </c>
      <c r="K93" s="355">
        <f>Input!$RT$10</f>
        <v>0</v>
      </c>
      <c r="L93" s="355">
        <f>Input!$RU$10</f>
        <v>-365027967</v>
      </c>
      <c r="M93" s="357">
        <f>D93+E93+F93+G93+H93+I93+J93+K93+L93</f>
        <v>-365027967</v>
      </c>
      <c r="O93" s="299"/>
      <c r="P93" s="50"/>
      <c r="Q93" s="50"/>
      <c r="R93" s="50"/>
      <c r="S93" s="50"/>
      <c r="T93" s="50"/>
      <c r="U93" s="50"/>
      <c r="V93" s="50"/>
      <c r="W93" s="50"/>
      <c r="X93" s="50"/>
      <c r="Y93" s="50"/>
      <c r="Z93" s="50"/>
      <c r="AA93" s="50"/>
      <c r="AB93" s="50"/>
    </row>
    <row r="94" spans="1:28" s="149" customFormat="1">
      <c r="A94" s="147">
        <v>78</v>
      </c>
      <c r="B94" s="51" t="s">
        <v>94</v>
      </c>
      <c r="C94" s="51"/>
      <c r="D94" s="355">
        <f>Input!$RV$10</f>
        <v>0</v>
      </c>
      <c r="E94" s="355">
        <f>Input!$RW$10</f>
        <v>0</v>
      </c>
      <c r="F94" s="355">
        <f>Input!$RX$10</f>
        <v>0</v>
      </c>
      <c r="G94" s="355">
        <f>Input!$RY$10</f>
        <v>0</v>
      </c>
      <c r="H94" s="355">
        <f>Input!$RZ$10</f>
        <v>0</v>
      </c>
      <c r="I94" s="355">
        <f>Input!$SA$10</f>
        <v>0</v>
      </c>
      <c r="J94" s="355">
        <f>Input!$SB$10</f>
        <v>0</v>
      </c>
      <c r="K94" s="355">
        <f>Input!$SC$10</f>
        <v>0</v>
      </c>
      <c r="L94" s="355">
        <f>Input!$SD$10</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Input!$SE$10</f>
        <v>0</v>
      </c>
      <c r="E95" s="355">
        <f>Input!$SF$10</f>
        <v>0</v>
      </c>
      <c r="F95" s="355">
        <f>Input!$SG$10</f>
        <v>0</v>
      </c>
      <c r="G95" s="355">
        <f>Input!$SH$10</f>
        <v>0</v>
      </c>
      <c r="H95" s="355">
        <f>Input!$SI$10</f>
        <v>0</v>
      </c>
      <c r="I95" s="355">
        <f>Input!$SJ$10</f>
        <v>0</v>
      </c>
      <c r="J95" s="355">
        <f>Input!$SK$10</f>
        <v>0</v>
      </c>
      <c r="K95" s="355">
        <f>Input!$SL$10</f>
        <v>0</v>
      </c>
      <c r="L95" s="355">
        <f>Input!$SM$10</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Input!$SN$10</f>
        <v>0</v>
      </c>
      <c r="E96" s="355">
        <f>Input!$SO$10</f>
        <v>0</v>
      </c>
      <c r="F96" s="355">
        <f>Input!$SP$10</f>
        <v>0</v>
      </c>
      <c r="G96" s="355">
        <f>Input!$SQ$10</f>
        <v>0</v>
      </c>
      <c r="H96" s="355">
        <f>Input!$SR$10</f>
        <v>0</v>
      </c>
      <c r="I96" s="355">
        <f>Input!$SS$10</f>
        <v>0</v>
      </c>
      <c r="J96" s="355">
        <f>Input!$ST$10</f>
        <v>0</v>
      </c>
      <c r="K96" s="355">
        <f>Input!$SU$10</f>
        <v>0</v>
      </c>
      <c r="L96" s="355">
        <f>Input!$SV$10</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Input!$SW$10</f>
        <v>0</v>
      </c>
      <c r="E97" s="355">
        <f>Input!$SX$10</f>
        <v>0</v>
      </c>
      <c r="F97" s="355">
        <f>Input!$SY$10</f>
        <v>0</v>
      </c>
      <c r="G97" s="355">
        <f>Input!$SZ$10</f>
        <v>0</v>
      </c>
      <c r="H97" s="355">
        <f>Input!$TA$10</f>
        <v>0</v>
      </c>
      <c r="I97" s="355">
        <f>Input!$TB$10</f>
        <v>0</v>
      </c>
      <c r="J97" s="355">
        <f>Input!$TC$10</f>
        <v>0</v>
      </c>
      <c r="K97" s="355">
        <f>Input!$TD$10</f>
        <v>0</v>
      </c>
      <c r="L97" s="355">
        <f>Input!$TE$10</f>
        <v>372166197</v>
      </c>
      <c r="M97" s="357">
        <f>D97+E97+F97+G97+H97+I97+J97+K97+L97</f>
        <v>372166197</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536319277</v>
      </c>
      <c r="E98" s="360">
        <f t="shared" si="21"/>
        <v>68381072</v>
      </c>
      <c r="F98" s="360">
        <f t="shared" si="21"/>
        <v>11847376</v>
      </c>
      <c r="G98" s="360">
        <f t="shared" si="21"/>
        <v>-44736820</v>
      </c>
      <c r="H98" s="360">
        <f t="shared" si="21"/>
        <v>0</v>
      </c>
      <c r="I98" s="360">
        <f t="shared" si="21"/>
        <v>75757068</v>
      </c>
      <c r="J98" s="360">
        <f t="shared" si="21"/>
        <v>166578683</v>
      </c>
      <c r="K98" s="360">
        <f t="shared" si="21"/>
        <v>0</v>
      </c>
      <c r="L98" s="360">
        <f t="shared" si="21"/>
        <v>5337577</v>
      </c>
      <c r="M98" s="360">
        <f>SUM(M91:M97)</f>
        <v>819484233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Input!$VC$10</f>
        <v>MARIA AGNES  D. CRUZ</v>
      </c>
      <c r="Q103" s="1334"/>
      <c r="R103" s="1333" t="str">
        <f>Input!$VD$10</f>
        <v>713-745-9518</v>
      </c>
      <c r="S103" s="1334"/>
      <c r="T103" s="305"/>
      <c r="U103" s="1335" t="str">
        <f>HYPERLINK("Mailto:"&amp;Input!$VE$10,Input!$VE$10)</f>
        <v>mcruz@mdanderson.org</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Input!$TF$10</f>
        <v>819484233</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IF($L$123&lt;&gt;Input!$F$10,"Out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6494998915</v>
      </c>
      <c r="E110" s="357">
        <f>SUM($E$10:$E$14)+SUM($E$19:$E$28)+SUM($E$50)+$E$53+SUM($E$56:$E$61)+SUM($E$65:$E$76)+SUM($E$80:$E$83)+SUM($E$87:$E$88)+SUM($E$93:$E$97)+SUM($E$32:$E$41)+$E$47</f>
        <v>1436019832</v>
      </c>
      <c r="F110" s="357">
        <f>SUM($F$10:$F$14)+SUM($F$19:$F$28)+SUM($F$50)+$F$53+SUM($F$56:$F$61)+SUM($F$65:$F$76)+SUM($F$80:$F$83)+SUM($F$87:$F$88)+SUM($F$93:$F$97)+SUM($F$32:$F$41)+$F$47</f>
        <v>57718864</v>
      </c>
      <c r="G110" s="357">
        <f>SUM($G$10:$G$14)+SUM($G$19:$G$28)+SUM($G$50)+$G$53+SUM($G$56:$G$61)+SUM($G$65:$G$76)+SUM($G$80:$G$83)+SUM($G$87:$G$88)+SUM($G$93:$G$97)+SUM($G$32:$G$41)+$G$47</f>
        <v>895320918</v>
      </c>
      <c r="H110" s="357">
        <f>SUM($H$10:$H$14)+SUM($H$19:$H$28)+SUM($H$50)+$H$53+SUM($H$56:$H$61)+SUM($H$65:$H$76)+SUM($H$80:$H$83)+SUM($H$87:$H$88)+SUM($H$93:$H$97)+SUM($H$32:$H$41)+$H$47</f>
        <v>0</v>
      </c>
      <c r="I110" s="357">
        <f>SUM($I$10:$I$14)+SUM($I$19:$I$28)+SUM($I$50)+$I$53+SUM($I$56:$I$61)+SUM($I$65:$I$76)+SUM($I$80:$I$83)+SUM($I$87:$I$88)+SUM($I$93:$I$97)+SUM($I$32:$I$41)+$I$47</f>
        <v>75757068</v>
      </c>
      <c r="J110" s="357">
        <f>SUM($J$10:$J$14)+SUM($J$19:$J$28)+SUM($J$50)+$J$53+SUM($J$56:$J$61)+SUM($J$65:$J$76)+SUM($J$80:$J$83)+SUM($J$87:$J$88)+SUM($J$93:$J$97)+SUM($J$32:$J$41)+$J$47</f>
        <v>166578683</v>
      </c>
      <c r="K110" s="357">
        <f>SUM($K$10:$K$14)+SUM($K$19:$K$28)+SUM($K$50)+$K$53+SUM($K$56:$K$61)+SUM($K$65:$K$76)+SUM($K$80:$K$83)+SUM($K$87:$K$88)+SUM($K$93:$K$97)+SUM($K$32:$K$41)+$K$47</f>
        <v>0</v>
      </c>
      <c r="L110" s="357">
        <f>SUM($L$10:$L$14)+SUM($L$19:$L$28)+SUM($L$50)+$L$53+SUM($L$56:$L$61)+SUM($L$65:$L$76)+SUM($L$80:$L$83)+SUM($L$87:$L$88)+SUM($L$93:$L$97)+SUM($L$32:$L$41)+$L$47</f>
        <v>11067909</v>
      </c>
      <c r="M110" s="51"/>
      <c r="O110" s="51"/>
    </row>
    <row r="111" spans="1:28" s="50" customFormat="1">
      <c r="A111" s="293"/>
      <c r="B111" s="51"/>
      <c r="C111" s="51"/>
      <c r="D111" s="51"/>
      <c r="E111" s="51"/>
      <c r="F111" s="51"/>
      <c r="G111" s="51"/>
      <c r="H111" s="51"/>
      <c r="I111" s="51"/>
      <c r="J111" s="51"/>
      <c r="K111" s="51"/>
      <c r="L111" s="357">
        <f>SUM($D$110:$L$110)</f>
        <v>9137462189</v>
      </c>
      <c r="M111" s="51"/>
      <c r="O111" s="51"/>
    </row>
    <row r="112" spans="1:28" s="50" customFormat="1">
      <c r="A112" s="293"/>
      <c r="B112" s="51"/>
      <c r="C112" s="51"/>
      <c r="D112" s="51"/>
      <c r="E112" s="51"/>
      <c r="F112" s="51"/>
      <c r="G112" s="51"/>
      <c r="H112" s="51"/>
      <c r="I112" s="51"/>
      <c r="J112" s="51" t="s">
        <v>1249</v>
      </c>
      <c r="K112" s="51"/>
      <c r="L112" s="357">
        <f>$M$105</f>
        <v>819484233</v>
      </c>
      <c r="M112" s="51"/>
      <c r="O112" s="51"/>
    </row>
    <row r="113" spans="1:15" s="50" customFormat="1">
      <c r="A113" s="293"/>
      <c r="B113" s="51"/>
      <c r="C113" s="51"/>
      <c r="D113" s="51"/>
      <c r="E113" s="51"/>
      <c r="F113" s="51"/>
      <c r="G113" s="51"/>
      <c r="H113" s="51"/>
      <c r="I113" s="51"/>
      <c r="J113" s="51" t="s">
        <v>1250</v>
      </c>
      <c r="K113" s="51"/>
      <c r="L113" s="143">
        <f>$Q$32</f>
        <v>1133906</v>
      </c>
      <c r="M113" s="51"/>
      <c r="O113" s="51"/>
    </row>
    <row r="114" spans="1:15" s="50" customFormat="1">
      <c r="A114" s="293"/>
      <c r="B114" s="51"/>
      <c r="C114" s="51"/>
      <c r="D114" s="51"/>
      <c r="E114" s="51"/>
      <c r="F114" s="51"/>
      <c r="G114" s="51"/>
      <c r="H114" s="51"/>
      <c r="I114" s="51"/>
      <c r="J114" s="51" t="s">
        <v>1250</v>
      </c>
      <c r="K114" s="51"/>
      <c r="L114" s="143">
        <f>$R$34</f>
        <v>-20421</v>
      </c>
      <c r="M114" s="51"/>
      <c r="O114" s="51"/>
    </row>
    <row r="115" spans="1:15" s="50" customFormat="1">
      <c r="A115" s="293"/>
      <c r="B115" s="51"/>
      <c r="C115" s="51"/>
      <c r="D115" s="51"/>
      <c r="E115" s="51"/>
      <c r="F115" s="51"/>
      <c r="G115" s="51"/>
      <c r="H115" s="51"/>
      <c r="I115" s="51"/>
      <c r="J115" s="51" t="s">
        <v>27</v>
      </c>
      <c r="K115" s="51"/>
      <c r="L115" s="143">
        <f>SUM($P$65:$P$74)</f>
        <v>81859203</v>
      </c>
      <c r="M115" s="51"/>
      <c r="O115" s="51"/>
    </row>
    <row r="116" spans="1:15" s="50" customFormat="1">
      <c r="A116" s="293"/>
      <c r="B116" s="51"/>
      <c r="C116" s="51"/>
      <c r="D116" s="51"/>
      <c r="E116" s="51"/>
      <c r="F116" s="51"/>
      <c r="G116" s="51"/>
      <c r="H116" s="51"/>
      <c r="I116" s="51"/>
      <c r="J116" s="51" t="s">
        <v>1009</v>
      </c>
      <c r="K116" s="51"/>
      <c r="L116" s="143">
        <f>$S$76+$S$77</f>
        <v>11254664918</v>
      </c>
      <c r="M116" s="51"/>
      <c r="O116" s="51"/>
    </row>
    <row r="117" spans="1:15" s="50" customFormat="1">
      <c r="A117" s="293"/>
      <c r="B117" s="51"/>
      <c r="C117" s="51"/>
      <c r="D117" s="51"/>
      <c r="E117" s="51"/>
      <c r="F117" s="51"/>
      <c r="G117" s="51"/>
      <c r="H117" s="51"/>
      <c r="I117" s="51"/>
      <c r="J117" s="51" t="s">
        <v>607</v>
      </c>
      <c r="K117" s="51"/>
      <c r="L117" s="143">
        <f>SUM($Q$65:$Q$73)</f>
        <v>1806710</v>
      </c>
      <c r="M117" s="51"/>
      <c r="O117" s="51"/>
    </row>
    <row r="118" spans="1:15" s="50" customFormat="1">
      <c r="A118" s="293"/>
      <c r="B118" s="51"/>
      <c r="C118" s="51"/>
      <c r="D118" s="51"/>
      <c r="E118" s="51"/>
      <c r="F118" s="51"/>
      <c r="G118" s="51"/>
      <c r="H118" s="51"/>
      <c r="I118" s="51"/>
      <c r="J118" s="51" t="s">
        <v>608</v>
      </c>
      <c r="K118" s="51"/>
      <c r="L118" s="143">
        <f>SUM($R$65:$R$73)</f>
        <v>2018077</v>
      </c>
      <c r="M118" s="51"/>
      <c r="O118" s="51"/>
    </row>
    <row r="119" spans="1:15" s="50" customFormat="1">
      <c r="A119" s="293"/>
      <c r="B119" s="51"/>
      <c r="C119" s="51"/>
      <c r="D119" s="51"/>
      <c r="E119" s="51"/>
      <c r="F119" s="51"/>
      <c r="G119" s="51"/>
      <c r="H119" s="51"/>
      <c r="I119" s="51"/>
      <c r="J119" s="51" t="s">
        <v>182</v>
      </c>
      <c r="K119" s="51"/>
      <c r="L119" s="143">
        <f>SUM($X$65:$X$74)</f>
        <v>4073306948</v>
      </c>
      <c r="M119" s="51"/>
      <c r="O119" s="51"/>
    </row>
    <row r="120" spans="1:15" s="50" customFormat="1">
      <c r="A120" s="293"/>
      <c r="B120" s="51"/>
      <c r="C120" s="51"/>
      <c r="D120" s="51"/>
      <c r="E120" s="51"/>
      <c r="F120" s="51"/>
      <c r="G120" s="51"/>
      <c r="H120" s="51"/>
      <c r="I120" s="51"/>
      <c r="J120" s="51" t="s">
        <v>609</v>
      </c>
      <c r="K120" s="51"/>
      <c r="L120" s="143">
        <f>$S$84</f>
        <v>737041508</v>
      </c>
      <c r="M120" s="51"/>
      <c r="O120" s="51"/>
    </row>
    <row r="121" spans="1:15" s="50" customFormat="1">
      <c r="A121" s="293"/>
      <c r="B121" s="51"/>
      <c r="C121" s="51"/>
      <c r="D121" s="51"/>
      <c r="E121" s="51"/>
      <c r="F121" s="51"/>
      <c r="G121" s="51"/>
      <c r="H121" s="51"/>
      <c r="I121" s="51"/>
      <c r="J121" s="51" t="s">
        <v>609</v>
      </c>
      <c r="K121" s="51"/>
      <c r="L121" s="143">
        <f>$S$87</f>
        <v>64278312</v>
      </c>
      <c r="M121" s="51"/>
      <c r="O121" s="51"/>
    </row>
    <row r="122" spans="1:15" s="50" customFormat="1">
      <c r="A122" s="293"/>
      <c r="B122" s="51"/>
      <c r="C122" s="51"/>
      <c r="D122" s="51"/>
      <c r="E122" s="51"/>
      <c r="F122" s="51"/>
      <c r="G122" s="51"/>
      <c r="H122" s="51"/>
      <c r="I122" s="51"/>
      <c r="J122" s="51" t="s">
        <v>1255</v>
      </c>
      <c r="K122" s="51"/>
      <c r="L122" s="935">
        <f>VLOOKUP(B2,Names!$B$10:$C$88,2,FALSE)</f>
        <v>25554</v>
      </c>
      <c r="M122" s="51"/>
      <c r="O122" s="51"/>
    </row>
    <row r="123" spans="1:15">
      <c r="L123" s="486">
        <f>SUM($L$111:$L$122)</f>
        <v>26173061137</v>
      </c>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399" priority="56" stopIfTrue="1" operator="notEqual">
      <formula>#REF!</formula>
    </cfRule>
  </conditionalFormatting>
  <conditionalFormatting sqref="M77">
    <cfRule type="cellIs" dxfId="398" priority="55" stopIfTrue="1" operator="notEqual">
      <formula>SUM($M$65:$M$76)</formula>
    </cfRule>
  </conditionalFormatting>
  <conditionalFormatting sqref="M89">
    <cfRule type="cellIs" dxfId="397" priority="54" stopIfTrue="1" operator="notEqual">
      <formula>SUM($M$87:$M$88)</formula>
    </cfRule>
  </conditionalFormatting>
  <conditionalFormatting sqref="M84">
    <cfRule type="cellIs" dxfId="396" priority="53" stopIfTrue="1" operator="notEqual">
      <formula>SUM($M$80:$M$83)</formula>
    </cfRule>
  </conditionalFormatting>
  <conditionalFormatting sqref="M62">
    <cfRule type="cellIs" dxfId="395" priority="49" stopIfTrue="1" operator="notEqual">
      <formula>SUM($M$56:$M$61)</formula>
    </cfRule>
  </conditionalFormatting>
  <conditionalFormatting sqref="M15">
    <cfRule type="cellIs" dxfId="394" priority="48" stopIfTrue="1" operator="notEqual">
      <formula>SUM($M$10:$M$14)</formula>
    </cfRule>
  </conditionalFormatting>
  <conditionalFormatting sqref="R99:S102 X95:AB102 U93:W100 T95:T102 O93:O100 D98:L98 P94:P101 Q93:Q100 S95:S98 R95:R97">
    <cfRule type="cellIs" dxfId="393" priority="47" stopIfTrue="1" operator="notEqual">
      <formula>#REF!</formula>
    </cfRule>
  </conditionalFormatting>
  <conditionalFormatting sqref="G64:K64">
    <cfRule type="expression" dxfId="392" priority="40">
      <formula>$R$98&lt;&gt;0</formula>
    </cfRule>
  </conditionalFormatting>
  <conditionalFormatting sqref="O11:P11">
    <cfRule type="expression" dxfId="391" priority="39">
      <formula>#REF!&lt;&gt;$N$11</formula>
    </cfRule>
  </conditionalFormatting>
  <conditionalFormatting sqref="O13">
    <cfRule type="expression" dxfId="390" priority="38">
      <formula>$Q$13&lt;&gt;$N$13</formula>
    </cfRule>
  </conditionalFormatting>
  <conditionalFormatting sqref="O12">
    <cfRule type="expression" dxfId="389" priority="37">
      <formula>$Q$12&lt;&gt;$N$12</formula>
    </cfRule>
  </conditionalFormatting>
  <conditionalFormatting sqref="S91">
    <cfRule type="expression" priority="35" stopIfTrue="1">
      <formula>$N$91&lt;0</formula>
    </cfRule>
    <cfRule type="expression" dxfId="388" priority="36">
      <formula>$T$91&lt;&gt;0</formula>
    </cfRule>
  </conditionalFormatting>
  <conditionalFormatting sqref="S84 S87">
    <cfRule type="expression" dxfId="387" priority="33" stopIfTrue="1">
      <formula>$M$91&gt;=0</formula>
    </cfRule>
    <cfRule type="expression" priority="34">
      <formula>$M$91&lt;0</formula>
    </cfRule>
  </conditionalFormatting>
  <conditionalFormatting sqref="U100:V100 R102 U101 P100:P101 Q100:R100 S100:T102 S105:U106">
    <cfRule type="cellIs" dxfId="386" priority="32" stopIfTrue="1" operator="notEqual">
      <formula>#REF!</formula>
    </cfRule>
  </conditionalFormatting>
  <conditionalFormatting sqref="P76">
    <cfRule type="expression" dxfId="385" priority="30">
      <formula>$P$75&lt;&gt;$M$75</formula>
    </cfRule>
  </conditionalFormatting>
  <conditionalFormatting sqref="Y78">
    <cfRule type="expression" dxfId="384" priority="29">
      <formula>$Y$77&lt;&gt;0</formula>
    </cfRule>
  </conditionalFormatting>
  <conditionalFormatting sqref="Q36">
    <cfRule type="expression" dxfId="383" priority="25">
      <formula>#REF!&lt;&gt;#REF!</formula>
    </cfRule>
  </conditionalFormatting>
  <conditionalFormatting sqref="R35">
    <cfRule type="expression" dxfId="382" priority="24">
      <formula>#REF!&lt;&gt;0</formula>
    </cfRule>
  </conditionalFormatting>
  <conditionalFormatting sqref="Q35">
    <cfRule type="expression" dxfId="381" priority="23">
      <formula>#REF!&lt;&gt;0</formula>
    </cfRule>
  </conditionalFormatting>
  <conditionalFormatting sqref="R36">
    <cfRule type="expression" dxfId="380" priority="22">
      <formula>#REF!&lt;&gt;#REF!</formula>
    </cfRule>
  </conditionalFormatting>
  <conditionalFormatting sqref="D99:M99 D98:L98">
    <cfRule type="cellIs" dxfId="379" priority="21" stopIfTrue="1" operator="notEqual">
      <formula>#REF!</formula>
    </cfRule>
  </conditionalFormatting>
  <conditionalFormatting sqref="M77">
    <cfRule type="cellIs" dxfId="378" priority="20" stopIfTrue="1" operator="notEqual">
      <formula>SUM($M$65:$M$76)</formula>
    </cfRule>
  </conditionalFormatting>
  <conditionalFormatting sqref="M89">
    <cfRule type="cellIs" dxfId="377" priority="19" stopIfTrue="1" operator="notEqual">
      <formula>SUM($M$87:$M$88)</formula>
    </cfRule>
  </conditionalFormatting>
  <conditionalFormatting sqref="M84">
    <cfRule type="cellIs" dxfId="376" priority="18" stopIfTrue="1" operator="notEqual">
      <formula>SUM($M$80:$M$83)</formula>
    </cfRule>
  </conditionalFormatting>
  <conditionalFormatting sqref="M62">
    <cfRule type="cellIs" dxfId="375" priority="17" stopIfTrue="1" operator="notEqual">
      <formula>SUM($M$56:$M$61)</formula>
    </cfRule>
  </conditionalFormatting>
  <conditionalFormatting sqref="M15">
    <cfRule type="cellIs" dxfId="374" priority="16" stopIfTrue="1" operator="notEqual">
      <formula>SUM($M$10:$M$14)</formula>
    </cfRule>
  </conditionalFormatting>
  <conditionalFormatting sqref="D98:L98">
    <cfRule type="cellIs" dxfId="373" priority="15" stopIfTrue="1" operator="notEqual">
      <formula>#REF!</formula>
    </cfRule>
  </conditionalFormatting>
  <conditionalFormatting sqref="G64:K64">
    <cfRule type="expression" dxfId="372" priority="14">
      <formula>$R$98&lt;&gt;0</formula>
    </cfRule>
  </conditionalFormatting>
  <conditionalFormatting sqref="O11:P11">
    <cfRule type="expression" dxfId="371" priority="13">
      <formula>#REF!&lt;&gt;$N$11</formula>
    </cfRule>
  </conditionalFormatting>
  <conditionalFormatting sqref="O13">
    <cfRule type="expression" dxfId="370" priority="12">
      <formula>$Q$13&lt;&gt;$N$13</formula>
    </cfRule>
  </conditionalFormatting>
  <conditionalFormatting sqref="O12">
    <cfRule type="expression" dxfId="369" priority="11">
      <formula>$Q$12&lt;&gt;$N$12</formula>
    </cfRule>
  </conditionalFormatting>
  <conditionalFormatting sqref="S91">
    <cfRule type="expression" priority="9" stopIfTrue="1">
      <formula>$N$91&lt;0</formula>
    </cfRule>
    <cfRule type="expression" dxfId="368" priority="10">
      <formula>$T$91&lt;&gt;0</formula>
    </cfRule>
  </conditionalFormatting>
  <conditionalFormatting sqref="S84 S87">
    <cfRule type="expression" dxfId="367" priority="7" stopIfTrue="1">
      <formula>$M$91&gt;=0</formula>
    </cfRule>
    <cfRule type="expression" priority="8">
      <formula>$M$91&lt;0</formula>
    </cfRule>
  </conditionalFormatting>
  <conditionalFormatting sqref="U100:V100 R102 U101 P100:P101 Q100:R100 S100:T102 S105:U106">
    <cfRule type="cellIs" dxfId="366" priority="6" stopIfTrue="1" operator="notEqual">
      <formula>#REF!</formula>
    </cfRule>
  </conditionalFormatting>
  <conditionalFormatting sqref="P76">
    <cfRule type="expression" dxfId="365" priority="5">
      <formula>$P$75&lt;&gt;$M$75</formula>
    </cfRule>
  </conditionalFormatting>
  <conditionalFormatting sqref="Y78">
    <cfRule type="expression" dxfId="364" priority="4">
      <formula>$Y$77&lt;&gt;0</formula>
    </cfRule>
  </conditionalFormatting>
  <conditionalFormatting sqref="Q36:R36">
    <cfRule type="expression" dxfId="363" priority="3">
      <formula>#REF!&lt;&gt;#REF!</formula>
    </cfRule>
  </conditionalFormatting>
  <conditionalFormatting sqref="R35">
    <cfRule type="expression" dxfId="362" priority="2">
      <formula>#REF!&lt;&gt;0</formula>
    </cfRule>
  </conditionalFormatting>
  <conditionalFormatting sqref="Q35">
    <cfRule type="expression" dxfId="361"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42578125" style="53" customWidth="1"/>
    <col min="11" max="16384" width="9.140625" style="53"/>
  </cols>
  <sheetData>
    <row r="1" spans="1:7">
      <c r="B1" s="386" t="str">
        <f>'MDA Chts'!$A$1</f>
        <v>The University of Texas M.D. Anderson Cancer Center</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IF('MDA FGD'!$S$83="N/A","FN11.  N/A",$B$14&amp;$B$15&amp;$B$16&amp;$B$17&amp;$B$18&amp;$B$19&amp;$B$20&amp;$B$21&amp;$B$22&amp;$B$23&amp;$B$24)</f>
        <v>FN11: Of the net increase of $812,346,003 approximately $737.0 million represents revenues received but not year expended. This income is fully committed to program expenditures and capital disbursements. The remaining $75.3 million represents non-expendable funds from unrealized gains and additions to permanent endowments of approximately $64.3 million and $11.0 million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TEXT(IF('MDA FGD'!$M$91&lt;0,"N/A",'MDA FGD'!$M$91),"$* #,##0;$* (#,##0)")</f>
        <v>$812,346,003</v>
      </c>
      <c r="C15" s="453"/>
      <c r="F15" s="453"/>
      <c r="G15" s="54"/>
    </row>
    <row r="16" spans="1:7">
      <c r="B16" s="54" t="s">
        <v>611</v>
      </c>
    </row>
    <row r="17" spans="1:6">
      <c r="A17" s="53">
        <v>68</v>
      </c>
      <c r="B17" s="489" t="str">
        <f>IF(ABS('MDA FGD'!$S$84)&gt;=1000000,TEXT('MDA FGD'!$S$84/1000000,"$* #,##0.0;$* (#,##0.0)")&amp;" million",IF(ABS('MDA FGD'!$S$84)&lt;1000,TEXT('MDA FGD'!$S$84,"$* #,##0;$* (#,##0)"),TEXT('MDA FGD'!$S$84/1000,"$* #,##0;$* (#,##0)")&amp;" thousand"))</f>
        <v>$737.0 million</v>
      </c>
      <c r="C17" s="489"/>
      <c r="F17" s="489"/>
    </row>
    <row r="18" spans="1:6">
      <c r="B18" s="54" t="s">
        <v>627</v>
      </c>
    </row>
    <row r="19" spans="1:6">
      <c r="A19" s="53">
        <v>69</v>
      </c>
      <c r="B19" s="53" t="str">
        <f>IF(ABS('MDA FGD'!$S$85)&gt;=1000000,TEXT('MDA FGD'!$S$85/1000000,"$* #,##0.0;$* (#,##0.0)")&amp;" million",IF(ABS('MDA FGD'!$S$85)&lt;1000,TEXT('MDA FGD'!$S$85,"$* #,##0;$* (#,##0)"),TEXT('MDA FGD'!$S$85/1000,"$* #,##0;$* (#,##0)")&amp;" thousand"))</f>
        <v>$75.3 million</v>
      </c>
    </row>
    <row r="20" spans="1:6">
      <c r="B20" s="54" t="s">
        <v>612</v>
      </c>
    </row>
    <row r="21" spans="1:6">
      <c r="A21" s="53">
        <v>71</v>
      </c>
      <c r="B21" s="53" t="str">
        <f>IF(ABS('MDA FGD'!$S$87)&gt;=1000000,TEXT('MDA FGD'!$S$87/1000000,"$* #,##0.0;$* (#,##0.0)")&amp;" million",IF(ABS('MDA FGD'!$S$87)&lt;1000,TEXT('MDA FGD'!$S$87,"$* #,##0;$* (#,##0)"),TEXT('MDA FGD'!$S$87/1000,"$* #,##0;$* (#,##0)")&amp;" thousand"))</f>
        <v>$64.3 million</v>
      </c>
    </row>
    <row r="22" spans="1:6">
      <c r="B22" s="54" t="s">
        <v>613</v>
      </c>
    </row>
    <row r="23" spans="1:6">
      <c r="A23" s="53">
        <v>73</v>
      </c>
      <c r="B23" s="53" t="str">
        <f>IF(ABS('MDA FGD'!$S$89)&gt;=1000000,TEXT('MDA FGD'!$S$89/1000000,"$* #,##0.0;$* (#,##0.0)")&amp;" million",IF(ABS('MDA FGD'!$S$89)&lt;1000,TEXT('MDA FGD'!$S$89,"$* #,##0;$* (#,##0)"),TEXT('MDA FGD'!$S$89/1000,"$* #,##0;$* (#,##0)")&amp;" thousand"))</f>
        <v>$11.0 million</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0.85546875" style="53" customWidth="1"/>
    <col min="3" max="3" width="55" style="53" customWidth="1"/>
    <col min="4" max="4" width="20.140625" style="53" customWidth="1"/>
    <col min="5" max="16384" width="9.140625" style="53"/>
  </cols>
  <sheetData>
    <row r="1" spans="1:5" ht="27.75" customHeight="1">
      <c r="A1" s="146" t="s">
        <v>1297</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'THC Sum'!A9</f>
        <v>State of Texas</v>
      </c>
      <c r="D11" s="61">
        <f>'THC Sum'!B15</f>
        <v>64528570</v>
      </c>
      <c r="E11" s="673">
        <f>ROUND(D11/$D$17,3)</f>
        <v>0.32600000000000001</v>
      </c>
    </row>
    <row r="12" spans="1:5" ht="12.95" customHeight="1">
      <c r="B12" s="56"/>
      <c r="C12" s="60" t="str">
        <f>'THC Sum'!A17</f>
        <v>Student &amp; Parent</v>
      </c>
      <c r="D12" s="61">
        <f>'THC Sum'!B20</f>
        <v>182967</v>
      </c>
      <c r="E12" s="673">
        <f t="shared" ref="E12:E15" si="0">ROUND(D12/$D$17,3)</f>
        <v>1E-3</v>
      </c>
    </row>
    <row r="13" spans="1:5" ht="12.95" customHeight="1">
      <c r="B13" s="56"/>
      <c r="C13" s="60" t="str">
        <f>'THC Sum'!A22</f>
        <v>Federal Government</v>
      </c>
      <c r="D13" s="61">
        <f>'THC Sum'!B23</f>
        <v>10226513</v>
      </c>
      <c r="E13" s="673">
        <f t="shared" si="0"/>
        <v>5.1999999999999998E-2</v>
      </c>
    </row>
    <row r="14" spans="1:5" ht="12.95" customHeight="1">
      <c r="B14" s="56"/>
      <c r="C14" s="60" t="str">
        <f>'THC Sum'!A31</f>
        <v>Institutional Resources</v>
      </c>
      <c r="D14" s="61">
        <f>'THC Sum'!B38</f>
        <v>42828488</v>
      </c>
      <c r="E14" s="673">
        <f t="shared" si="0"/>
        <v>0.217</v>
      </c>
    </row>
    <row r="15" spans="1:5" ht="12.95" customHeight="1">
      <c r="B15" s="56"/>
      <c r="C15" s="62" t="s">
        <v>58</v>
      </c>
      <c r="D15" s="61">
        <f>'THC Sum'!B29+'THC Sum'!B26</f>
        <v>79915088</v>
      </c>
      <c r="E15" s="673">
        <f t="shared" si="0"/>
        <v>0.40400000000000003</v>
      </c>
    </row>
    <row r="16" spans="1:5" ht="12.95" customHeight="1">
      <c r="B16" s="56"/>
      <c r="C16" s="58"/>
      <c r="D16" s="59"/>
    </row>
    <row r="17" spans="1:5" ht="12.95" customHeight="1">
      <c r="B17" s="56"/>
      <c r="C17" s="63" t="s">
        <v>71</v>
      </c>
      <c r="D17" s="64">
        <f>SUM(D11:D16)</f>
        <v>197681626</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$197,681,626</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'THC Sum'!B10</f>
        <v>51387510</v>
      </c>
      <c r="E53" s="673">
        <f>ROUND(D53/$D$68,3)</f>
        <v>0.26</v>
      </c>
    </row>
    <row r="54" spans="1:5" ht="12.95" customHeight="1">
      <c r="C54" s="60" t="s">
        <v>76</v>
      </c>
      <c r="D54" s="61">
        <f>'THC Sum'!B11</f>
        <v>13141060</v>
      </c>
      <c r="E54" s="673">
        <f t="shared" ref="E54:E67" si="1">ROUND(D54/$D$68,3)</f>
        <v>6.6000000000000003E-2</v>
      </c>
    </row>
    <row r="55" spans="1:5" ht="12.95" customHeight="1">
      <c r="C55" s="907"/>
      <c r="D55" s="61"/>
      <c r="E55" s="673"/>
    </row>
    <row r="56" spans="1:5" ht="12.95" customHeight="1">
      <c r="C56" s="907" t="str">
        <f>'THC Sum'!A13</f>
        <v>Higher Education Fund</v>
      </c>
      <c r="D56" s="61">
        <f>'THC Sum'!B13</f>
        <v>0</v>
      </c>
      <c r="E56" s="673">
        <f t="shared" si="1"/>
        <v>0</v>
      </c>
    </row>
    <row r="57" spans="1:5" ht="12.95" customHeight="1">
      <c r="C57" s="907" t="s">
        <v>39</v>
      </c>
      <c r="D57" s="61">
        <f>'THC Sum'!B14</f>
        <v>0</v>
      </c>
      <c r="E57" s="673">
        <f t="shared" si="1"/>
        <v>0</v>
      </c>
    </row>
    <row r="58" spans="1:5" ht="12.95" customHeight="1">
      <c r="C58" s="60" t="s">
        <v>77</v>
      </c>
      <c r="D58" s="61">
        <f>'THC Sum'!B20</f>
        <v>182967</v>
      </c>
      <c r="E58" s="673">
        <f t="shared" si="1"/>
        <v>1E-3</v>
      </c>
    </row>
    <row r="59" spans="1:5" ht="12.95" customHeight="1">
      <c r="C59" s="66" t="s">
        <v>78</v>
      </c>
      <c r="D59" s="61">
        <f>'THC Sum'!B23</f>
        <v>10226513</v>
      </c>
      <c r="E59" s="673">
        <f t="shared" si="1"/>
        <v>5.1999999999999998E-2</v>
      </c>
    </row>
    <row r="60" spans="1:5" ht="12.95" customHeight="1">
      <c r="C60" s="60" t="s">
        <v>79</v>
      </c>
      <c r="D60" s="61">
        <f>'THC Sum'!B32</f>
        <v>4462614</v>
      </c>
      <c r="E60" s="673">
        <f t="shared" si="1"/>
        <v>2.3E-2</v>
      </c>
    </row>
    <row r="61" spans="1:5" ht="12.95" customHeight="1">
      <c r="C61" s="60" t="s">
        <v>198</v>
      </c>
      <c r="D61" s="61">
        <f>'THC Sum'!B33</f>
        <v>0</v>
      </c>
      <c r="E61" s="673">
        <f t="shared" si="1"/>
        <v>0</v>
      </c>
    </row>
    <row r="62" spans="1:5" ht="12.95" customHeight="1">
      <c r="C62" s="60" t="s">
        <v>80</v>
      </c>
      <c r="D62" s="61">
        <f>'THC Sum'!B34</f>
        <v>11330290</v>
      </c>
      <c r="E62" s="673">
        <f t="shared" si="1"/>
        <v>5.7000000000000002E-2</v>
      </c>
    </row>
    <row r="63" spans="1:5" ht="12.95" customHeight="1">
      <c r="C63" s="60" t="s">
        <v>81</v>
      </c>
      <c r="D63" s="61">
        <f>'THC Sum'!B35</f>
        <v>3679021</v>
      </c>
      <c r="E63" s="673">
        <f t="shared" si="1"/>
        <v>1.9E-2</v>
      </c>
    </row>
    <row r="64" spans="1:5" ht="12.95" customHeight="1">
      <c r="C64" s="60" t="s">
        <v>12</v>
      </c>
      <c r="D64" s="61">
        <f>'THC Sum'!B36</f>
        <v>164836</v>
      </c>
      <c r="E64" s="673">
        <f t="shared" si="1"/>
        <v>1E-3</v>
      </c>
    </row>
    <row r="65" spans="1:5" ht="12.95" customHeight="1">
      <c r="C65" s="66" t="s">
        <v>48</v>
      </c>
      <c r="D65" s="61">
        <f>'THC Sum'!B37</f>
        <v>23191727</v>
      </c>
      <c r="E65" s="673">
        <f t="shared" si="1"/>
        <v>0.11700000000000001</v>
      </c>
    </row>
    <row r="66" spans="1:5" ht="12.95" customHeight="1">
      <c r="C66" s="66" t="s">
        <v>57</v>
      </c>
      <c r="D66" s="61">
        <f>'THC Sum'!B26</f>
        <v>17429053</v>
      </c>
      <c r="E66" s="673">
        <f t="shared" si="1"/>
        <v>8.7999999999999995E-2</v>
      </c>
    </row>
    <row r="67" spans="1:5" ht="12.95" customHeight="1">
      <c r="C67" s="62" t="s">
        <v>58</v>
      </c>
      <c r="D67" s="61">
        <f>'THC Sum'!B29</f>
        <v>62486035</v>
      </c>
      <c r="E67" s="673">
        <f t="shared" si="1"/>
        <v>0.316</v>
      </c>
    </row>
    <row r="68" spans="1:5" ht="12.95" customHeight="1">
      <c r="C68" s="63" t="s">
        <v>71</v>
      </c>
      <c r="D68" s="64">
        <f>SUM(D53:D67)</f>
        <v>197681626</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$197,681,626</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'THC Sum'!B42</f>
        <v>17373510</v>
      </c>
      <c r="E102" s="673">
        <f>ROUND(D102/$D$115,3)</f>
        <v>8.1000000000000003E-2</v>
      </c>
    </row>
    <row r="103" spans="1:5" ht="12.95" customHeight="1">
      <c r="C103" s="68" t="s">
        <v>15</v>
      </c>
      <c r="D103" s="61">
        <f>'THC Sum'!B43</f>
        <v>15946928</v>
      </c>
      <c r="E103" s="673">
        <f t="shared" ref="E103:E113" si="2">ROUND(D103/$D$115,3)</f>
        <v>7.4999999999999997E-2</v>
      </c>
    </row>
    <row r="104" spans="1:5" ht="12.95" customHeight="1">
      <c r="C104" s="68" t="s">
        <v>16</v>
      </c>
      <c r="D104" s="61">
        <f>'THC Sum'!B44</f>
        <v>0</v>
      </c>
      <c r="E104" s="673">
        <f t="shared" si="2"/>
        <v>0</v>
      </c>
    </row>
    <row r="105" spans="1:5" ht="12.95" customHeight="1">
      <c r="C105" s="68" t="s">
        <v>17</v>
      </c>
      <c r="D105" s="61">
        <f>'THC Sum'!B46</f>
        <v>1389336</v>
      </c>
      <c r="E105" s="673">
        <f t="shared" si="2"/>
        <v>7.0000000000000001E-3</v>
      </c>
    </row>
    <row r="106" spans="1:5" ht="12.95" customHeight="1">
      <c r="C106" s="911" t="s">
        <v>18</v>
      </c>
      <c r="D106" s="61">
        <f>'THC Sum'!B47</f>
        <v>0</v>
      </c>
      <c r="E106" s="673">
        <f t="shared" si="2"/>
        <v>0</v>
      </c>
    </row>
    <row r="107" spans="1:5" ht="12.95" customHeight="1">
      <c r="C107" s="68" t="s">
        <v>19</v>
      </c>
      <c r="D107" s="61">
        <f>'THC Sum'!B48</f>
        <v>19973480</v>
      </c>
      <c r="E107" s="673">
        <f t="shared" si="2"/>
        <v>9.4E-2</v>
      </c>
    </row>
    <row r="108" spans="1:5" ht="12.95" customHeight="1">
      <c r="C108" s="68" t="s">
        <v>82</v>
      </c>
      <c r="D108" s="61">
        <f>'THC Sum'!B49</f>
        <v>10216797</v>
      </c>
      <c r="E108" s="673">
        <f t="shared" si="2"/>
        <v>4.8000000000000001E-2</v>
      </c>
    </row>
    <row r="109" spans="1:5" ht="12.95" customHeight="1">
      <c r="C109" s="68" t="s">
        <v>83</v>
      </c>
      <c r="D109" s="61">
        <f>'THC Sum'!B50</f>
        <v>35175</v>
      </c>
      <c r="E109" s="673">
        <f t="shared" si="2"/>
        <v>0</v>
      </c>
    </row>
    <row r="110" spans="1:5" ht="12.95" customHeight="1">
      <c r="C110" s="68" t="s">
        <v>22</v>
      </c>
      <c r="D110" s="61">
        <f>'THC Sum'!B51</f>
        <v>144548</v>
      </c>
      <c r="E110" s="673">
        <f t="shared" si="2"/>
        <v>1E-3</v>
      </c>
    </row>
    <row r="111" spans="1:5" ht="12.95" customHeight="1">
      <c r="C111" s="68" t="s">
        <v>27</v>
      </c>
      <c r="D111" s="61">
        <f>'THC Sum'!B52</f>
        <v>1343524</v>
      </c>
      <c r="E111" s="673">
        <f t="shared" si="2"/>
        <v>6.0000000000000001E-3</v>
      </c>
    </row>
    <row r="112" spans="1:5" ht="12.95" customHeight="1">
      <c r="C112" s="66" t="s">
        <v>49</v>
      </c>
      <c r="D112" s="61">
        <f>'THC Sum'!B53</f>
        <v>0</v>
      </c>
      <c r="E112" s="673">
        <f t="shared" si="2"/>
        <v>0</v>
      </c>
    </row>
    <row r="113" spans="3:5" ht="12.95" customHeight="1">
      <c r="C113" s="62" t="s">
        <v>84</v>
      </c>
      <c r="D113" s="61">
        <f>'THC Sum'!B45</f>
        <v>146832357</v>
      </c>
      <c r="E113" s="673">
        <f t="shared" si="2"/>
        <v>0.68899999999999995</v>
      </c>
    </row>
    <row r="114" spans="3:5" ht="12.95" customHeight="1">
      <c r="C114" s="58"/>
      <c r="D114" s="58"/>
      <c r="E114" s="674"/>
    </row>
    <row r="115" spans="3:5" ht="12.95" customHeight="1">
      <c r="C115" s="70" t="s">
        <v>72</v>
      </c>
      <c r="D115" s="64">
        <f>SUM(D102:D114)</f>
        <v>213255655</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$213,255,655</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zoomScaleSheetLayoutView="100"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141" t="str">
        <f>'THC Chts'!$A$1</f>
        <v>The University of Texas Health Science Center at Tyler</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42439</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819"/>
      <c r="C6" s="43">
        <f>VLOOKUP($G$2,FTSELU,10,FALSE)</f>
        <v>30.130000000000003</v>
      </c>
      <c r="J6" s="643"/>
      <c r="O6" s="51"/>
    </row>
    <row r="7" spans="1:15">
      <c r="B7" s="79"/>
      <c r="C7" s="5"/>
      <c r="I7" s="683" t="s">
        <v>1114</v>
      </c>
      <c r="J7" s="684"/>
      <c r="O7" s="51"/>
    </row>
    <row r="8" spans="1:15">
      <c r="A8" s="81" t="s">
        <v>74</v>
      </c>
      <c r="B8" s="81"/>
      <c r="C8" s="15"/>
      <c r="I8" s="685">
        <f>VLOOKUP($G$2,FTSELU,11,FALSE)</f>
        <v>131.38999999999999</v>
      </c>
      <c r="J8" s="643"/>
      <c r="O8" s="51"/>
    </row>
    <row r="9" spans="1:15" ht="12.75" customHeight="1" thickBot="1">
      <c r="A9" s="78" t="s">
        <v>0</v>
      </c>
      <c r="B9" s="82"/>
      <c r="C9" s="8"/>
      <c r="J9" s="643"/>
      <c r="O9" s="51"/>
    </row>
    <row r="10" spans="1:15" ht="12.75" customHeight="1" thickTop="1">
      <c r="A10" s="74" t="s">
        <v>1108</v>
      </c>
      <c r="B10" s="83">
        <f>'THC FGD'!M10</f>
        <v>51387510</v>
      </c>
      <c r="C10" s="143" t="s">
        <v>139</v>
      </c>
      <c r="D10" s="143">
        <f>'THC FGD'!F10</f>
        <v>0</v>
      </c>
      <c r="E10" s="143"/>
      <c r="F10" s="84">
        <f>B10-(SUM(D10:E10))</f>
        <v>51387510</v>
      </c>
      <c r="G10" s="980" t="s">
        <v>1</v>
      </c>
      <c r="H10" s="981"/>
      <c r="I10" s="686" t="s">
        <v>1115</v>
      </c>
      <c r="J10" s="644" t="s">
        <v>213</v>
      </c>
      <c r="O10" s="51"/>
    </row>
    <row r="11" spans="1:15" ht="12.75" customHeight="1" thickBot="1">
      <c r="A11" s="74" t="s">
        <v>2</v>
      </c>
      <c r="B11" s="86">
        <f>'THC FGD'!M11</f>
        <v>13141060</v>
      </c>
      <c r="C11" s="83"/>
      <c r="D11" s="284">
        <f>'THC FGD'!F11</f>
        <v>0</v>
      </c>
      <c r="E11" s="73"/>
      <c r="F11" s="566">
        <f t="shared" ref="F11:F14" si="0">B11-(SUM(D11:E11))</f>
        <v>13141060</v>
      </c>
      <c r="G11" s="987">
        <f>SUM(F10:F11)</f>
        <v>64528570</v>
      </c>
      <c r="H11" s="777"/>
      <c r="I11" s="795" t="s">
        <v>213</v>
      </c>
      <c r="J11" s="645" t="s">
        <v>213</v>
      </c>
      <c r="O11" s="51"/>
    </row>
    <row r="12" spans="1:15" ht="12.75" hidden="1" customHeight="1" thickTop="1" thickBot="1">
      <c r="A12" s="74" t="s">
        <v>1345</v>
      </c>
      <c r="B12" s="86"/>
      <c r="C12" s="83"/>
      <c r="D12" s="284"/>
      <c r="E12" s="73"/>
      <c r="F12" s="567"/>
      <c r="J12" s="645"/>
      <c r="O12" s="568"/>
    </row>
    <row r="13" spans="1:15" ht="12.75" customHeight="1" thickTop="1">
      <c r="A13" s="74" t="s">
        <v>1298</v>
      </c>
      <c r="B13" s="86">
        <f>'THC FGD'!M13</f>
        <v>0</v>
      </c>
      <c r="C13" s="83"/>
      <c r="D13" s="284">
        <f>'THC FGD'!F13</f>
        <v>0</v>
      </c>
      <c r="E13" s="73"/>
      <c r="F13" s="786">
        <f t="shared" si="0"/>
        <v>0</v>
      </c>
      <c r="G13" s="780" t="s">
        <v>86</v>
      </c>
      <c r="H13" s="787"/>
      <c r="I13" s="731" t="s">
        <v>1116</v>
      </c>
      <c r="J13" s="645" t="s">
        <v>213</v>
      </c>
      <c r="O13" s="51"/>
    </row>
    <row r="14" spans="1:15" ht="12.75" customHeight="1" thickBot="1">
      <c r="A14" s="74" t="s">
        <v>46</v>
      </c>
      <c r="B14" s="86">
        <f>'THC FGD'!M14</f>
        <v>0</v>
      </c>
      <c r="C14" s="83"/>
      <c r="D14" s="284">
        <f>'THC FGD'!F14</f>
        <v>0</v>
      </c>
      <c r="E14" s="73"/>
      <c r="F14" s="567">
        <f t="shared" si="0"/>
        <v>0</v>
      </c>
      <c r="G14" s="687">
        <f>SUM(F13:F14)</f>
        <v>0</v>
      </c>
      <c r="H14" s="788"/>
      <c r="I14" s="795" t="s">
        <v>213</v>
      </c>
      <c r="J14" s="689" t="s">
        <v>213</v>
      </c>
      <c r="O14" s="51"/>
    </row>
    <row r="15" spans="1:15" ht="12.75" customHeight="1" thickTop="1">
      <c r="A15" s="87" t="s">
        <v>3</v>
      </c>
      <c r="B15" s="88">
        <f>SUM(B10:B14)</f>
        <v>64528570</v>
      </c>
      <c r="C15" s="88"/>
      <c r="D15" s="88">
        <f>SUM(D10:D14)</f>
        <v>0</v>
      </c>
      <c r="E15" s="88">
        <f>SUM(E10:E14)</f>
        <v>0</v>
      </c>
      <c r="F15" s="646">
        <f>SUM(F10:F14)</f>
        <v>64528570</v>
      </c>
      <c r="I15" s="785"/>
      <c r="J15" s="669" t="s">
        <v>213</v>
      </c>
      <c r="O15" s="51"/>
    </row>
    <row r="16" spans="1:15">
      <c r="C16" s="74"/>
      <c r="J16" s="643"/>
      <c r="O16" s="51"/>
    </row>
    <row r="17" spans="1:15" ht="12.75" customHeight="1">
      <c r="A17" s="78" t="s">
        <v>4</v>
      </c>
      <c r="C17" s="74"/>
      <c r="J17" s="643"/>
      <c r="O17" s="51"/>
    </row>
    <row r="18" spans="1:15">
      <c r="A18" s="74" t="s">
        <v>37</v>
      </c>
      <c r="B18" s="83">
        <f>'THC FGD'!M29</f>
        <v>154040</v>
      </c>
      <c r="C18" s="83"/>
      <c r="D18" s="143">
        <f>'THC FGD'!$F$29</f>
        <v>0</v>
      </c>
      <c r="E18" s="143"/>
      <c r="F18" s="143">
        <f t="shared" ref="F18:F19" si="1">B18-(SUM(D18:E18))</f>
        <v>154040</v>
      </c>
      <c r="G18" s="351"/>
      <c r="H18" s="351"/>
      <c r="I18" s="351"/>
      <c r="J18" s="644" t="s">
        <v>213</v>
      </c>
      <c r="O18" s="51"/>
    </row>
    <row r="19" spans="1:15" ht="13.5" thickBot="1">
      <c r="A19" s="74" t="s">
        <v>38</v>
      </c>
      <c r="B19" s="86">
        <f>'THC FGD'!M42</f>
        <v>28927</v>
      </c>
      <c r="C19" s="83"/>
      <c r="D19" s="73">
        <f>'THC FGD'!$F$42</f>
        <v>0</v>
      </c>
      <c r="E19" s="73"/>
      <c r="F19" s="73">
        <f t="shared" si="1"/>
        <v>28927</v>
      </c>
      <c r="G19" s="351"/>
      <c r="H19" s="351"/>
      <c r="I19" s="351"/>
      <c r="J19" s="645" t="s">
        <v>213</v>
      </c>
      <c r="O19" s="51"/>
    </row>
    <row r="20" spans="1:15" ht="14.25" thickTop="1" thickBot="1">
      <c r="A20" s="87" t="s">
        <v>5</v>
      </c>
      <c r="B20" s="88">
        <f>SUM(B18:B19)</f>
        <v>182967</v>
      </c>
      <c r="C20" s="88"/>
      <c r="D20" s="647">
        <f>SUM(D18:D19)</f>
        <v>0</v>
      </c>
      <c r="E20" s="648">
        <f>SUM(E18:E19)</f>
        <v>0</v>
      </c>
      <c r="F20" s="690">
        <f>SUM(F18:F19)</f>
        <v>182967</v>
      </c>
      <c r="G20" s="650" t="s">
        <v>87</v>
      </c>
      <c r="H20" s="569"/>
      <c r="I20" s="570"/>
      <c r="J20" s="651" t="s">
        <v>213</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'THC FGD'!M47</f>
        <v>10226513</v>
      </c>
      <c r="C23" s="140"/>
      <c r="D23" s="647">
        <f>'THC FGD'!F47</f>
        <v>0</v>
      </c>
      <c r="E23" s="648"/>
      <c r="F23" s="690">
        <f>B23-(SUM(D23:E23))</f>
        <v>10226513</v>
      </c>
      <c r="G23" s="652" t="s">
        <v>1162</v>
      </c>
      <c r="H23" s="569"/>
      <c r="I23" s="570"/>
      <c r="J23" s="668" t="s">
        <v>213</v>
      </c>
      <c r="O23" s="51"/>
    </row>
    <row r="24" spans="1:15" ht="13.5" thickTop="1">
      <c r="C24" s="74"/>
      <c r="J24" s="643"/>
      <c r="O24" s="51"/>
    </row>
    <row r="25" spans="1:15">
      <c r="A25" s="78" t="s">
        <v>57</v>
      </c>
      <c r="C25" s="74"/>
      <c r="D25" s="73"/>
      <c r="H25" s="351"/>
      <c r="J25" s="643"/>
      <c r="O25" s="51"/>
    </row>
    <row r="26" spans="1:15">
      <c r="A26" s="87" t="s">
        <v>56</v>
      </c>
      <c r="B26" s="88">
        <f>'THC FGD'!M50</f>
        <v>17429053</v>
      </c>
      <c r="C26" s="140"/>
      <c r="D26" s="88">
        <f>'THC FGD'!F50</f>
        <v>0</v>
      </c>
      <c r="E26" s="88">
        <f>B26-D26</f>
        <v>17429053</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'THC FGD'!M53</f>
        <v>62486035</v>
      </c>
      <c r="C29" s="140"/>
      <c r="D29" s="88">
        <f>'THC FGD'!F53</f>
        <v>0</v>
      </c>
      <c r="E29" s="88">
        <f>B29-D29</f>
        <v>62486035</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'THC FGD'!M56</f>
        <v>4462614</v>
      </c>
      <c r="C32" s="83"/>
      <c r="D32" s="143">
        <f>'THC FGD'!F56</f>
        <v>0</v>
      </c>
      <c r="E32" s="143"/>
      <c r="F32" s="143">
        <f t="shared" ref="F32:F37" si="4">B32-(SUM(D32:E32))</f>
        <v>4462614</v>
      </c>
      <c r="G32" s="351"/>
      <c r="H32" s="351"/>
      <c r="I32" s="351"/>
      <c r="J32" s="644" t="s">
        <v>213</v>
      </c>
      <c r="O32" s="51"/>
    </row>
    <row r="33" spans="1:30">
      <c r="A33" s="74" t="s">
        <v>9</v>
      </c>
      <c r="B33" s="86">
        <f>'THC FGD'!M57</f>
        <v>0</v>
      </c>
      <c r="C33" s="83"/>
      <c r="D33" s="284">
        <f>'THC FGD'!F57</f>
        <v>0</v>
      </c>
      <c r="E33" s="73"/>
      <c r="F33" s="73">
        <f t="shared" si="4"/>
        <v>0</v>
      </c>
      <c r="G33" s="351"/>
      <c r="H33" s="351"/>
      <c r="I33" s="351"/>
      <c r="J33" s="645" t="s">
        <v>213</v>
      </c>
      <c r="O33" s="51"/>
    </row>
    <row r="34" spans="1:30" ht="13.5" thickBot="1">
      <c r="A34" s="74" t="s">
        <v>10</v>
      </c>
      <c r="B34" s="86">
        <f>'THC FGD'!M58</f>
        <v>11330290</v>
      </c>
      <c r="C34" s="83"/>
      <c r="D34" s="284">
        <f>'THC FGD'!F58</f>
        <v>0</v>
      </c>
      <c r="E34" s="73"/>
      <c r="F34" s="73">
        <f t="shared" si="4"/>
        <v>11330290</v>
      </c>
      <c r="G34" s="351"/>
      <c r="H34" s="351"/>
      <c r="I34" s="351"/>
      <c r="J34" s="645" t="s">
        <v>213</v>
      </c>
      <c r="O34" s="51"/>
    </row>
    <row r="35" spans="1:30" ht="13.5" thickBot="1">
      <c r="A35" s="74" t="s">
        <v>11</v>
      </c>
      <c r="B35" s="86">
        <f>'THC FGD'!M59</f>
        <v>3679021</v>
      </c>
      <c r="C35" s="83"/>
      <c r="D35" s="284">
        <f>'THC FGD'!F59</f>
        <v>0</v>
      </c>
      <c r="E35" s="73"/>
      <c r="F35" s="73">
        <f t="shared" si="4"/>
        <v>3679021</v>
      </c>
      <c r="G35" s="351"/>
      <c r="H35" s="351"/>
      <c r="I35" s="351"/>
      <c r="J35" s="645" t="s">
        <v>213</v>
      </c>
      <c r="K35" s="1262"/>
      <c r="L35" s="1245"/>
      <c r="M35" s="1245"/>
      <c r="N35" s="1245"/>
      <c r="O35" s="1246"/>
    </row>
    <row r="36" spans="1:30" ht="13.5" thickBot="1">
      <c r="A36" s="92" t="s">
        <v>1362</v>
      </c>
      <c r="B36" s="86">
        <f>'THC FGD'!M60</f>
        <v>164836</v>
      </c>
      <c r="C36" s="83"/>
      <c r="D36" s="284">
        <f>'THC FGD'!F60</f>
        <v>164836</v>
      </c>
      <c r="E36" s="73"/>
      <c r="F36" s="73">
        <f t="shared" si="4"/>
        <v>0</v>
      </c>
      <c r="G36" s="351"/>
      <c r="H36" s="351"/>
      <c r="I36" s="351"/>
      <c r="J36" s="645" t="s">
        <v>213</v>
      </c>
      <c r="K36" s="1262" t="s">
        <v>1017</v>
      </c>
      <c r="L36" s="1245"/>
      <c r="M36" s="1245"/>
      <c r="N36" s="1245"/>
      <c r="O36" s="1246"/>
    </row>
    <row r="37" spans="1:30" ht="13.5" customHeight="1" thickBot="1">
      <c r="A37" s="93" t="s">
        <v>41</v>
      </c>
      <c r="B37" s="86">
        <f>'THC FGD'!M61</f>
        <v>23191727</v>
      </c>
      <c r="C37" s="83"/>
      <c r="D37" s="284">
        <f>'THC FGD'!F61</f>
        <v>0</v>
      </c>
      <c r="E37" s="73"/>
      <c r="F37" s="73">
        <f t="shared" si="4"/>
        <v>23191727</v>
      </c>
      <c r="G37" s="24"/>
      <c r="H37" s="24"/>
      <c r="I37" s="577"/>
      <c r="J37" s="645" t="s">
        <v>213</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42828488</v>
      </c>
      <c r="C38" s="88"/>
      <c r="D38" s="291">
        <f>SUM(D32:D37)</f>
        <v>164836</v>
      </c>
      <c r="E38" s="291">
        <f>SUM(E32:E37)</f>
        <v>0</v>
      </c>
      <c r="F38" s="692">
        <f>SUM(F32:F37)</f>
        <v>42663652</v>
      </c>
      <c r="G38" s="1259" t="s">
        <v>8</v>
      </c>
      <c r="H38" s="1260"/>
      <c r="I38" s="693" t="s">
        <v>1118</v>
      </c>
      <c r="J38" s="653" t="s">
        <v>213</v>
      </c>
      <c r="K38" s="1264"/>
      <c r="L38" s="1264"/>
      <c r="M38" s="1264"/>
      <c r="N38" s="1264" t="s">
        <v>1021</v>
      </c>
      <c r="O38" s="1264" t="s">
        <v>1022</v>
      </c>
    </row>
    <row r="39" spans="1:30" ht="13.5" thickTop="1">
      <c r="A39" s="94" t="s">
        <v>71</v>
      </c>
      <c r="B39" s="47">
        <f>B15+B20+B23+B26+B29+B38</f>
        <v>197681626</v>
      </c>
      <c r="C39" s="139"/>
      <c r="D39" s="47">
        <f>D15+D20+D23+D26+D29+D38</f>
        <v>164836</v>
      </c>
      <c r="E39" s="47">
        <f>E15+E20+E23+E26+E29+E38</f>
        <v>79915088</v>
      </c>
      <c r="F39" s="778">
        <f>F38+F23+F20+F15</f>
        <v>117601702</v>
      </c>
      <c r="G39" s="1261" t="s">
        <v>89</v>
      </c>
      <c r="H39" s="1261"/>
      <c r="I39" s="795" t="s">
        <v>213</v>
      </c>
      <c r="J39" s="654" t="s">
        <v>213</v>
      </c>
      <c r="K39" s="1264"/>
      <c r="L39" s="1264"/>
      <c r="M39" s="1264"/>
      <c r="N39" s="1264"/>
      <c r="O39" s="1264"/>
    </row>
    <row r="40" spans="1:30" ht="13.5" thickBot="1">
      <c r="C40" s="74"/>
      <c r="D40" s="351"/>
      <c r="E40" s="351"/>
      <c r="F40" s="351" t="s">
        <v>1117</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117601702</v>
      </c>
      <c r="I41" s="795" t="s">
        <v>213</v>
      </c>
      <c r="K41" s="571"/>
      <c r="L41" s="571"/>
      <c r="M41" s="571"/>
      <c r="N41" s="571"/>
      <c r="O41" s="571"/>
    </row>
    <row r="42" spans="1:30" ht="13.5" thickTop="1">
      <c r="A42" s="95" t="s">
        <v>14</v>
      </c>
      <c r="B42" s="83">
        <f>'THC FGD'!M65</f>
        <v>17373510</v>
      </c>
      <c r="C42" s="83"/>
      <c r="D42" s="143">
        <f>'THC FGD'!F65</f>
        <v>0</v>
      </c>
      <c r="E42" s="143"/>
      <c r="F42" s="143">
        <f t="shared" ref="F42" si="5">B42-(SUM(D42:E42))</f>
        <v>17373510</v>
      </c>
      <c r="G42" s="351"/>
      <c r="H42" s="1048" t="s">
        <v>1394</v>
      </c>
      <c r="I42" s="1047">
        <f>ROUND(F42/$C$6,0)</f>
        <v>576618</v>
      </c>
      <c r="J42" s="351" t="s">
        <v>669</v>
      </c>
      <c r="K42" s="143">
        <f>F42</f>
        <v>17373510</v>
      </c>
      <c r="L42" s="143">
        <f>K42</f>
        <v>17373510</v>
      </c>
      <c r="M42" s="143"/>
      <c r="N42" s="143"/>
      <c r="O42" s="143"/>
    </row>
    <row r="43" spans="1:30">
      <c r="A43" s="95" t="s">
        <v>15</v>
      </c>
      <c r="B43" s="86">
        <f>'THC FGD'!M66</f>
        <v>15946928</v>
      </c>
      <c r="C43" s="83"/>
      <c r="D43" s="357">
        <f>'THC FGD'!F66</f>
        <v>0</v>
      </c>
      <c r="E43" s="73"/>
      <c r="F43" s="73">
        <f t="shared" ref="F43:F44" si="6">B43-(SUM(D43:E43))</f>
        <v>15946928</v>
      </c>
      <c r="G43" s="351"/>
      <c r="H43" s="351"/>
      <c r="J43" s="351" t="s">
        <v>1093</v>
      </c>
      <c r="K43" s="357">
        <f>F43</f>
        <v>15946928</v>
      </c>
      <c r="L43" s="357">
        <f>K43</f>
        <v>15946928</v>
      </c>
      <c r="M43" s="357"/>
      <c r="N43" s="357"/>
      <c r="O43" s="357"/>
    </row>
    <row r="44" spans="1:30">
      <c r="A44" s="95" t="s">
        <v>16</v>
      </c>
      <c r="B44" s="86">
        <f>'THC FGD'!M67</f>
        <v>0</v>
      </c>
      <c r="C44" s="83"/>
      <c r="D44" s="357">
        <f>'THC FGD'!F67</f>
        <v>0</v>
      </c>
      <c r="E44" s="284">
        <f>B44-D44</f>
        <v>0</v>
      </c>
      <c r="F44" s="73">
        <f t="shared" si="6"/>
        <v>0</v>
      </c>
      <c r="G44" s="351"/>
      <c r="H44" s="351"/>
      <c r="I44" s="351"/>
      <c r="J44" s="351" t="s">
        <v>1094</v>
      </c>
      <c r="K44" s="670"/>
      <c r="L44" s="671"/>
      <c r="M44" s="671" t="s">
        <v>1095</v>
      </c>
      <c r="N44" s="671"/>
      <c r="O44" s="672"/>
    </row>
    <row r="45" spans="1:30">
      <c r="A45" s="96" t="s">
        <v>55</v>
      </c>
      <c r="B45" s="86">
        <f>'THC FGD'!M68</f>
        <v>146832357</v>
      </c>
      <c r="C45" s="83"/>
      <c r="D45" s="357">
        <f>'THC FGD'!F68</f>
        <v>0</v>
      </c>
      <c r="E45" s="284">
        <f>B45-D45</f>
        <v>146832357</v>
      </c>
      <c r="F45" s="73">
        <f t="shared" ref="F45" si="7">B45-(SUM(D45:E45))</f>
        <v>0</v>
      </c>
      <c r="G45" s="776"/>
      <c r="J45" s="51" t="s">
        <v>1096</v>
      </c>
      <c r="K45" s="1266" t="s">
        <v>1095</v>
      </c>
      <c r="L45" s="1267"/>
      <c r="M45" s="1267"/>
      <c r="N45" s="1267"/>
      <c r="O45" s="1268"/>
    </row>
    <row r="46" spans="1:30">
      <c r="A46" s="95" t="s">
        <v>17</v>
      </c>
      <c r="B46" s="86">
        <f>'THC FGD'!M69</f>
        <v>1389336</v>
      </c>
      <c r="C46" s="83"/>
      <c r="D46" s="357">
        <f>'THC FGD'!F69</f>
        <v>0</v>
      </c>
      <c r="E46" s="73"/>
      <c r="F46" s="73">
        <f t="shared" ref="F46:F53" si="8">B46-(SUM(D46:E46))</f>
        <v>1389336</v>
      </c>
      <c r="G46" s="351"/>
      <c r="H46" s="1048" t="s">
        <v>1395</v>
      </c>
      <c r="I46" s="1047">
        <f>ROUND(F46/$C$6,0)</f>
        <v>46111</v>
      </c>
      <c r="J46" s="351" t="s">
        <v>1097</v>
      </c>
      <c r="K46" s="357">
        <f t="shared" ref="K46:K50" si="9">F46</f>
        <v>1389336</v>
      </c>
      <c r="L46" s="357">
        <f>K46</f>
        <v>1389336</v>
      </c>
      <c r="M46" s="357"/>
      <c r="N46" s="357"/>
      <c r="O46" s="357"/>
    </row>
    <row r="47" spans="1:30">
      <c r="A47" s="95" t="s">
        <v>18</v>
      </c>
      <c r="B47" s="86">
        <f>'THC FGD'!M70</f>
        <v>0</v>
      </c>
      <c r="C47" s="83"/>
      <c r="D47" s="357">
        <f>'THC FGD'!F70</f>
        <v>0</v>
      </c>
      <c r="E47" s="73"/>
      <c r="F47" s="73">
        <f t="shared" si="8"/>
        <v>0</v>
      </c>
      <c r="G47" s="351"/>
      <c r="H47" s="351"/>
      <c r="I47" s="351"/>
      <c r="J47" s="351" t="s">
        <v>1098</v>
      </c>
      <c r="K47" s="357">
        <f t="shared" si="9"/>
        <v>0</v>
      </c>
      <c r="L47" s="357"/>
      <c r="M47" s="357">
        <f>K47</f>
        <v>0</v>
      </c>
      <c r="N47" s="357"/>
      <c r="O47" s="357"/>
    </row>
    <row r="48" spans="1:30">
      <c r="A48" s="95" t="s">
        <v>19</v>
      </c>
      <c r="B48" s="86">
        <f>'THC FGD'!M71</f>
        <v>19973480</v>
      </c>
      <c r="C48" s="83"/>
      <c r="D48" s="357">
        <f>'THC FGD'!F71</f>
        <v>0</v>
      </c>
      <c r="E48" s="73"/>
      <c r="F48" s="73">
        <f t="shared" si="8"/>
        <v>19973480</v>
      </c>
      <c r="G48" s="351"/>
      <c r="H48" s="1048" t="s">
        <v>1396</v>
      </c>
      <c r="I48" s="1047">
        <f>ROUND(F48/$C$6,0)</f>
        <v>662910</v>
      </c>
      <c r="J48" s="351" t="s">
        <v>675</v>
      </c>
      <c r="K48" s="357">
        <f t="shared" si="9"/>
        <v>19973480</v>
      </c>
      <c r="L48" s="357"/>
      <c r="M48" s="357"/>
      <c r="N48" s="357">
        <f>K48</f>
        <v>19973480</v>
      </c>
      <c r="O48" s="357"/>
    </row>
    <row r="49" spans="1:30">
      <c r="A49" s="95" t="s">
        <v>20</v>
      </c>
      <c r="B49" s="86">
        <f>'THC FGD'!M72</f>
        <v>10216797</v>
      </c>
      <c r="C49" s="83"/>
      <c r="D49" s="357">
        <f>'THC FGD'!F72</f>
        <v>0</v>
      </c>
      <c r="E49" s="73"/>
      <c r="F49" s="73">
        <f t="shared" si="8"/>
        <v>10216797</v>
      </c>
      <c r="G49" s="351"/>
      <c r="H49" s="351"/>
      <c r="I49" s="351"/>
      <c r="J49" s="351" t="s">
        <v>676</v>
      </c>
      <c r="K49" s="357">
        <f t="shared" si="9"/>
        <v>10216797</v>
      </c>
      <c r="L49" s="357"/>
      <c r="M49" s="357"/>
      <c r="N49" s="357">
        <f>K49</f>
        <v>10216797</v>
      </c>
      <c r="O49" s="357"/>
    </row>
    <row r="50" spans="1:30">
      <c r="A50" s="95" t="s">
        <v>21</v>
      </c>
      <c r="B50" s="86">
        <f>'THC FGD'!M73</f>
        <v>35175</v>
      </c>
      <c r="C50" s="83"/>
      <c r="D50" s="357">
        <f>'THC FGD'!F73</f>
        <v>0</v>
      </c>
      <c r="E50" s="73"/>
      <c r="F50" s="73">
        <f t="shared" si="8"/>
        <v>35175</v>
      </c>
      <c r="G50" s="351"/>
      <c r="H50" s="351"/>
      <c r="I50" s="351"/>
      <c r="J50" s="351" t="s">
        <v>1099</v>
      </c>
      <c r="K50" s="357">
        <f t="shared" si="9"/>
        <v>35175</v>
      </c>
      <c r="L50" s="357"/>
      <c r="M50" s="357">
        <f>K50</f>
        <v>35175</v>
      </c>
      <c r="N50" s="357"/>
      <c r="O50" s="357"/>
    </row>
    <row r="51" spans="1:30">
      <c r="A51" s="95" t="s">
        <v>1363</v>
      </c>
      <c r="B51" s="86">
        <f>'THC FGD'!M74</f>
        <v>144548</v>
      </c>
      <c r="C51" s="83"/>
      <c r="D51" s="657">
        <f>B51</f>
        <v>144548</v>
      </c>
      <c r="E51" s="73"/>
      <c r="F51" s="73">
        <f t="shared" si="8"/>
        <v>0</v>
      </c>
      <c r="G51" s="351"/>
      <c r="H51" s="351"/>
      <c r="I51" s="351"/>
      <c r="J51" s="351" t="s">
        <v>660</v>
      </c>
      <c r="K51" s="670"/>
      <c r="L51" s="671"/>
      <c r="M51" s="671" t="s">
        <v>1095</v>
      </c>
      <c r="N51" s="671"/>
      <c r="O51" s="672"/>
    </row>
    <row r="52" spans="1:30">
      <c r="A52" s="95" t="s">
        <v>65</v>
      </c>
      <c r="B52" s="86">
        <f>'THC FGD'!M75</f>
        <v>1343524</v>
      </c>
      <c r="C52" s="83"/>
      <c r="D52" s="357">
        <f>'THC FGD'!F75</f>
        <v>0</v>
      </c>
      <c r="E52" s="73"/>
      <c r="F52" s="73">
        <f t="shared" si="8"/>
        <v>1343524</v>
      </c>
      <c r="G52" s="351"/>
      <c r="J52" s="351" t="s">
        <v>1100</v>
      </c>
      <c r="K52" s="357">
        <f t="shared" ref="K52:K53" si="10">F52</f>
        <v>1343524</v>
      </c>
      <c r="L52" s="357"/>
      <c r="M52" s="357"/>
      <c r="N52" s="357"/>
      <c r="O52" s="357">
        <f>K52</f>
        <v>1343524</v>
      </c>
    </row>
    <row r="53" spans="1:30" ht="13.5" thickBot="1">
      <c r="A53" s="74" t="s">
        <v>47</v>
      </c>
      <c r="B53" s="86">
        <f>'THC FGD'!M76</f>
        <v>0</v>
      </c>
      <c r="C53" s="83"/>
      <c r="D53" s="357">
        <f>'THC FGD'!F76</f>
        <v>0</v>
      </c>
      <c r="E53" s="73"/>
      <c r="F53" s="73">
        <f t="shared" si="8"/>
        <v>0</v>
      </c>
      <c r="G53" s="24"/>
      <c r="H53" s="1048" t="s">
        <v>1397</v>
      </c>
      <c r="I53" s="1047">
        <f>ROUND(SUM(F43+F47+F49+F50+F52+F53)/$C$6,0)</f>
        <v>914120</v>
      </c>
      <c r="J53" s="572" t="s">
        <v>1022</v>
      </c>
      <c r="K53" s="357">
        <f t="shared" si="10"/>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213255655</v>
      </c>
      <c r="C54" s="48"/>
      <c r="D54" s="48">
        <f>SUM(D42:D53)</f>
        <v>144548</v>
      </c>
      <c r="E54" s="698">
        <f>SUM(E43:E53)</f>
        <v>146832357</v>
      </c>
      <c r="F54" s="649">
        <f>SUM(F42:F53)</f>
        <v>66278750</v>
      </c>
      <c r="G54" s="1279" t="s">
        <v>1121</v>
      </c>
      <c r="H54" s="1280"/>
      <c r="I54" s="697" t="s">
        <v>1398</v>
      </c>
      <c r="J54" s="572" t="s">
        <v>1101</v>
      </c>
      <c r="K54" s="574">
        <f>SUM(K42:K53)</f>
        <v>66278750</v>
      </c>
      <c r="L54" s="574">
        <f t="shared" ref="L54:O54" si="11">SUM(L42:L53)</f>
        <v>34709774</v>
      </c>
      <c r="M54" s="574">
        <f t="shared" si="11"/>
        <v>35175</v>
      </c>
      <c r="N54" s="574">
        <f t="shared" si="11"/>
        <v>30190277</v>
      </c>
      <c r="O54" s="574">
        <f t="shared" si="11"/>
        <v>1343524</v>
      </c>
    </row>
    <row r="55" spans="1:30" ht="14.25" customHeight="1" thickTop="1" thickBot="1">
      <c r="A55" s="92"/>
      <c r="C55" s="74"/>
      <c r="F55" s="575"/>
      <c r="G55" s="1281"/>
      <c r="H55" s="1282"/>
      <c r="I55" s="699">
        <f>ROUND(F54/C6,0)</f>
        <v>2199759</v>
      </c>
      <c r="J55" s="1258" t="s">
        <v>1102</v>
      </c>
      <c r="K55" s="573"/>
      <c r="L55" s="573"/>
      <c r="M55" s="573"/>
      <c r="N55" s="573"/>
      <c r="O55" s="573"/>
    </row>
    <row r="56" spans="1:30" ht="16.5" customHeight="1" thickBot="1">
      <c r="A56" s="78" t="s">
        <v>23</v>
      </c>
      <c r="C56" s="74"/>
      <c r="F56" s="576"/>
      <c r="G56" s="1283"/>
      <c r="H56" s="1284"/>
      <c r="I56" s="693" t="s">
        <v>1399</v>
      </c>
      <c r="J56" s="1258"/>
      <c r="K56" s="700" t="s">
        <v>213</v>
      </c>
      <c r="L56" s="700" t="s">
        <v>213</v>
      </c>
      <c r="M56" s="700" t="s">
        <v>213</v>
      </c>
      <c r="N56" s="700" t="s">
        <v>213</v>
      </c>
      <c r="O56" s="700" t="s">
        <v>213</v>
      </c>
      <c r="P56" s="89"/>
      <c r="Q56" s="89"/>
      <c r="R56" s="89"/>
      <c r="S56" s="89"/>
      <c r="T56" s="89"/>
      <c r="U56" s="89"/>
      <c r="V56" s="89"/>
      <c r="W56" s="89"/>
      <c r="X56" s="89"/>
      <c r="Y56" s="89"/>
      <c r="Z56" s="89"/>
      <c r="AA56" s="89"/>
      <c r="AB56" s="89"/>
      <c r="AC56" s="89"/>
      <c r="AD56" s="89"/>
    </row>
    <row r="57" spans="1:30" ht="13.5" thickTop="1">
      <c r="A57" s="74" t="s">
        <v>66</v>
      </c>
      <c r="B57" s="86">
        <f>'THC FGD'!M80</f>
        <v>-31128291</v>
      </c>
      <c r="C57" s="83"/>
      <c r="D57" s="143">
        <f>'THC FGD'!F80</f>
        <v>0</v>
      </c>
      <c r="E57" s="143"/>
      <c r="F57" s="1045">
        <f t="shared" ref="F57:F60" si="12">B57-(SUM(D57:E57))</f>
        <v>-31128291</v>
      </c>
      <c r="G57" s="780"/>
      <c r="I57" s="696">
        <f>ROUND($F$54/$I$8,0)</f>
        <v>504443</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'THC FGD'!M81</f>
        <v>214384</v>
      </c>
      <c r="C58" s="83"/>
      <c r="D58" s="285">
        <f>'THC FGD'!F81</f>
        <v>0</v>
      </c>
      <c r="E58" s="82"/>
      <c r="F58" s="73">
        <f t="shared" si="12"/>
        <v>214384</v>
      </c>
      <c r="G58" s="351"/>
      <c r="J58" s="351"/>
      <c r="K58" s="578"/>
      <c r="L58" s="578"/>
      <c r="M58" s="578"/>
      <c r="N58" s="578"/>
      <c r="O58" s="578"/>
    </row>
    <row r="59" spans="1:30">
      <c r="A59" s="98" t="s">
        <v>52</v>
      </c>
      <c r="B59" s="86">
        <f>'THC FGD'!M82</f>
        <v>32034979</v>
      </c>
      <c r="C59" s="83"/>
      <c r="D59" s="285">
        <f>'THC FGD'!F82</f>
        <v>0</v>
      </c>
      <c r="E59" s="82"/>
      <c r="F59" s="73">
        <f t="shared" si="12"/>
        <v>32034979</v>
      </c>
      <c r="G59" s="24"/>
      <c r="J59" s="658"/>
      <c r="K59" s="658"/>
      <c r="L59" s="658"/>
      <c r="M59" s="658"/>
      <c r="N59" s="658"/>
      <c r="O59" s="658"/>
    </row>
    <row r="60" spans="1:30" ht="12" customHeight="1">
      <c r="A60" s="74" t="s">
        <v>43</v>
      </c>
      <c r="B60" s="86">
        <f>'THC FGD'!M83</f>
        <v>-7700545</v>
      </c>
      <c r="C60" s="83"/>
      <c r="D60" s="285">
        <f>'THC FGD'!F83</f>
        <v>0</v>
      </c>
      <c r="E60" s="82"/>
      <c r="F60" s="73">
        <f t="shared" si="12"/>
        <v>-7700545</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-6579473</v>
      </c>
      <c r="C61" s="88"/>
      <c r="D61" s="88">
        <f>SUM(D57:D60)</f>
        <v>0</v>
      </c>
      <c r="E61" s="88">
        <f>SUM(E57:E60)</f>
        <v>0</v>
      </c>
      <c r="F61" s="99">
        <f>SUM(F57:F60)</f>
        <v>-6579473</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'THC FGD'!M87</f>
        <v>2382866</v>
      </c>
      <c r="C64" s="83"/>
      <c r="D64" s="143">
        <f>'THC FGD'!F87</f>
        <v>0</v>
      </c>
      <c r="E64" s="143"/>
      <c r="F64" s="143">
        <f t="shared" ref="F64:F65" si="13">B64-(SUM(D64:E64))</f>
        <v>2382866</v>
      </c>
      <c r="O64" s="51"/>
    </row>
    <row r="65" spans="1:30">
      <c r="A65" s="74" t="s">
        <v>45</v>
      </c>
      <c r="B65" s="86">
        <f>'THC FGD'!M88</f>
        <v>0</v>
      </c>
      <c r="C65" s="83"/>
      <c r="D65" s="285">
        <f>'THC FGD'!F88</f>
        <v>0</v>
      </c>
      <c r="E65" s="82"/>
      <c r="F65" s="73">
        <f t="shared" si="13"/>
        <v>0</v>
      </c>
      <c r="O65" s="51"/>
      <c r="P65" s="89"/>
      <c r="Q65" s="89"/>
      <c r="R65" s="89"/>
      <c r="S65" s="89"/>
      <c r="T65" s="89"/>
      <c r="U65" s="89"/>
      <c r="V65" s="89"/>
      <c r="W65" s="89"/>
      <c r="X65" s="89"/>
      <c r="Y65" s="89"/>
      <c r="Z65" s="89"/>
      <c r="AA65" s="89"/>
      <c r="AB65" s="89"/>
      <c r="AC65" s="89"/>
      <c r="AD65" s="89"/>
    </row>
    <row r="66" spans="1:30" s="92" customFormat="1">
      <c r="A66" s="87" t="s">
        <v>3</v>
      </c>
      <c r="B66" s="88">
        <f>SUM(B64:B65)</f>
        <v>2382866</v>
      </c>
      <c r="C66" s="88"/>
      <c r="D66" s="88">
        <f>SUM(D64:D65)</f>
        <v>0</v>
      </c>
      <c r="E66" s="88">
        <f>SUM(E64:E65)</f>
        <v>0</v>
      </c>
      <c r="F66" s="88">
        <f>SUM(F64:F65)</f>
        <v>2382866</v>
      </c>
      <c r="G66" s="51"/>
      <c r="H66" s="51"/>
      <c r="I66" s="51"/>
      <c r="J66" s="51"/>
      <c r="K66" s="51"/>
      <c r="L66" s="51"/>
      <c r="M66" s="51"/>
      <c r="N66" s="51"/>
      <c r="O66" s="51"/>
    </row>
    <row r="67" spans="1:30">
      <c r="C67" s="74"/>
      <c r="O67" s="51"/>
    </row>
    <row r="68" spans="1:30" ht="13.5" thickBot="1">
      <c r="A68" s="100" t="s">
        <v>616</v>
      </c>
      <c r="B68" s="49">
        <f>B39-B54+B61+B66</f>
        <v>-19770636</v>
      </c>
      <c r="C68" s="49"/>
      <c r="D68" s="49">
        <f>D39-D54+D61+D66</f>
        <v>20288</v>
      </c>
      <c r="E68" s="49">
        <f>E39-E54+E61+E66</f>
        <v>-66917269</v>
      </c>
      <c r="F68" s="49">
        <f>F39-F54+F61+F66</f>
        <v>47126345</v>
      </c>
      <c r="O68" s="51"/>
    </row>
    <row r="69" spans="1:30" ht="13.5" thickTop="1"/>
    <row r="70" spans="1:30">
      <c r="A70" s="51" t="s">
        <v>140</v>
      </c>
      <c r="D70" s="143"/>
    </row>
    <row r="71" spans="1:30">
      <c r="A71" s="74" t="s">
        <v>51</v>
      </c>
    </row>
    <row r="72" spans="1:30">
      <c r="B72" s="659">
        <f>'THC FGD'!$M$91</f>
        <v>-19770636</v>
      </c>
      <c r="C72" s="74"/>
      <c r="D72" s="659">
        <f>'THC FGD'!F91</f>
        <v>20288</v>
      </c>
      <c r="E72" s="659">
        <f>'THC FGD'!M50</f>
        <v>17429053</v>
      </c>
      <c r="F72" s="74"/>
    </row>
    <row r="73" spans="1:30">
      <c r="B73" s="659"/>
      <c r="C73" s="74"/>
      <c r="D73" s="659">
        <f>'THC FGD'!F74</f>
        <v>144548</v>
      </c>
      <c r="E73" s="659">
        <f>'THC FGD'!M53</f>
        <v>62486035</v>
      </c>
      <c r="F73" s="659"/>
    </row>
    <row r="74" spans="1:30">
      <c r="B74" s="676"/>
      <c r="C74" s="92"/>
      <c r="D74" s="676">
        <f>-'THC FGD'!M74</f>
        <v>-144548</v>
      </c>
      <c r="E74" s="659">
        <f>-'THC FGD'!M68</f>
        <v>-146832357</v>
      </c>
      <c r="F74" s="659"/>
    </row>
    <row r="75" spans="1:30">
      <c r="B75" s="676"/>
      <c r="C75" s="74"/>
      <c r="D75" s="676"/>
      <c r="E75" s="676">
        <f>-'THC FGD'!M67</f>
        <v>0</v>
      </c>
      <c r="F75" s="659"/>
      <c r="G75" s="351"/>
      <c r="H75" s="351"/>
    </row>
    <row r="76" spans="1:30" ht="12.75" customHeight="1">
      <c r="B76" s="675"/>
      <c r="C76" s="74"/>
      <c r="D76" s="675"/>
      <c r="E76" s="675">
        <f>-D26</f>
        <v>0</v>
      </c>
      <c r="F76" s="659"/>
      <c r="G76" s="351"/>
      <c r="H76" s="351"/>
    </row>
    <row r="77" spans="1:30" ht="12.75" customHeight="1">
      <c r="B77" s="659">
        <f>SUM(B72:B76)</f>
        <v>-19770636</v>
      </c>
      <c r="C77" s="74"/>
      <c r="D77" s="659">
        <f>SUM(D72:D76)</f>
        <v>20288</v>
      </c>
      <c r="E77" s="659">
        <f>SUM(E72:E76)</f>
        <v>-66917269</v>
      </c>
      <c r="F77" s="659">
        <f>B77-D77-E77</f>
        <v>47126345</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-19770636</v>
      </c>
      <c r="C80" s="74"/>
      <c r="D80" s="659">
        <f>SUM(D77:D79)</f>
        <v>20288</v>
      </c>
      <c r="E80" s="659">
        <f>SUM(E77:E79)</f>
        <v>-66917269</v>
      </c>
      <c r="F80" s="659">
        <f>SUM(F77:F79)</f>
        <v>47126345</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13.855468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8.28515625" style="166" customWidth="1"/>
    <col min="14" max="14" width="5.57031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'THC Chts'!$A$1</f>
        <v>The University of Texas Health Science Center at Tyler</v>
      </c>
      <c r="C2" s="1273"/>
      <c r="D2" s="1273"/>
      <c r="E2" s="1273"/>
      <c r="F2" s="1273"/>
      <c r="H2" s="174"/>
      <c r="I2" s="149" t="str">
        <f>IF($B$2&lt;&gt;Input!$H$11,"Name Mismatch","")</f>
        <v/>
      </c>
      <c r="K2" s="174"/>
      <c r="L2" s="174"/>
      <c r="M2" s="175"/>
      <c r="O2" s="737" t="s">
        <v>1123</v>
      </c>
      <c r="P2" s="294"/>
    </row>
    <row r="3" spans="1:28" ht="20.25">
      <c r="A3" s="173">
        <v>2</v>
      </c>
      <c r="B3" s="1273" t="str">
        <f>'Smmy Chts'!$A$2</f>
        <v>For the Year Ended August 31, 2018</v>
      </c>
      <c r="C3" s="1273"/>
      <c r="D3" s="1273"/>
      <c r="E3" s="1273"/>
      <c r="F3" s="1273"/>
      <c r="G3" s="174"/>
      <c r="H3" s="174"/>
      <c r="K3" s="174"/>
      <c r="L3" s="174"/>
      <c r="M3" s="175"/>
      <c r="O3" s="73"/>
    </row>
    <row r="4" spans="1:28" ht="20.25">
      <c r="A4" s="173">
        <v>3</v>
      </c>
      <c r="B4" s="1273" t="str">
        <f>'Smmy Chts'!$A$3</f>
        <v>Source: FY 2018 Annual Financial Report</v>
      </c>
      <c r="C4" s="1273"/>
      <c r="D4" s="1273"/>
      <c r="E4" s="1273"/>
      <c r="F4" s="1273"/>
      <c r="G4" s="174"/>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Input!$M$11</f>
        <v>51387510</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51387510</v>
      </c>
      <c r="O10" s="184"/>
      <c r="P10" s="1308" t="s">
        <v>595</v>
      </c>
      <c r="Q10" s="50"/>
      <c r="R10" s="50"/>
      <c r="S10" s="50"/>
      <c r="T10" s="183"/>
      <c r="U10" s="183"/>
      <c r="V10" s="50"/>
      <c r="W10" s="50"/>
      <c r="X10" s="50"/>
      <c r="Y10" s="50"/>
      <c r="Z10" s="50"/>
      <c r="AA10" s="50"/>
      <c r="AB10" s="50"/>
    </row>
    <row r="11" spans="1:28" s="149" customFormat="1">
      <c r="A11" s="147">
        <v>10</v>
      </c>
      <c r="B11" s="149" t="s">
        <v>2</v>
      </c>
      <c r="D11" s="355">
        <f>Input!$V$11</f>
        <v>9216250</v>
      </c>
      <c r="E11" s="355">
        <f>Input!$W$11</f>
        <v>867539</v>
      </c>
      <c r="F11" s="355">
        <f>Input!$X$11</f>
        <v>0</v>
      </c>
      <c r="G11" s="355">
        <f>Input!$Y$11</f>
        <v>3057271</v>
      </c>
      <c r="H11" s="355">
        <f>Input!$Z$11</f>
        <v>0</v>
      </c>
      <c r="I11" s="355">
        <f>Input!$AA$11</f>
        <v>0</v>
      </c>
      <c r="J11" s="355">
        <f>Input!$AB$11</f>
        <v>0</v>
      </c>
      <c r="K11" s="355">
        <f>Input!$AC$11</f>
        <v>0</v>
      </c>
      <c r="L11" s="355">
        <f>Input!$AD$11</f>
        <v>0</v>
      </c>
      <c r="M11" s="357">
        <f t="shared" si="0"/>
        <v>13141060</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Input!$AN$11</f>
        <v>0</v>
      </c>
      <c r="E13" s="355">
        <f>Input!$AO$11</f>
        <v>0</v>
      </c>
      <c r="F13" s="355">
        <f>Input!$AP$11</f>
        <v>0</v>
      </c>
      <c r="G13" s="355">
        <f>Input!$AQ$11</f>
        <v>0</v>
      </c>
      <c r="H13" s="355">
        <f>Input!$AR$11</f>
        <v>0</v>
      </c>
      <c r="I13" s="355">
        <f>Input!$AS$11</f>
        <v>0</v>
      </c>
      <c r="J13" s="355">
        <f>Input!$AT$11</f>
        <v>0</v>
      </c>
      <c r="K13" s="355">
        <f>Input!$AU$11</f>
        <v>0</v>
      </c>
      <c r="L13" s="355">
        <f>Input!$AV$11</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60603760</v>
      </c>
      <c r="E15" s="356">
        <f t="shared" ref="E15:L15" si="1">SUM(E10:E14)</f>
        <v>867539</v>
      </c>
      <c r="F15" s="356">
        <f t="shared" si="1"/>
        <v>0</v>
      </c>
      <c r="G15" s="356">
        <f t="shared" si="1"/>
        <v>3057271</v>
      </c>
      <c r="H15" s="356">
        <f t="shared" si="1"/>
        <v>0</v>
      </c>
      <c r="I15" s="356">
        <f t="shared" si="1"/>
        <v>0</v>
      </c>
      <c r="J15" s="356">
        <f t="shared" si="1"/>
        <v>0</v>
      </c>
      <c r="K15" s="356">
        <f t="shared" si="1"/>
        <v>0</v>
      </c>
      <c r="L15" s="356">
        <f t="shared" si="1"/>
        <v>0</v>
      </c>
      <c r="M15" s="356">
        <f t="shared" si="0"/>
        <v>64528570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173972</v>
      </c>
      <c r="E18" s="356">
        <f t="shared" si="2"/>
        <v>87308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261280</v>
      </c>
      <c r="V18" s="342"/>
      <c r="X18" s="326"/>
    </row>
    <row r="19" spans="1:26" s="50" customFormat="1" ht="12.75" customHeight="1" thickTop="1" thickBot="1">
      <c r="A19" s="293"/>
      <c r="B19" s="51" t="s">
        <v>638</v>
      </c>
      <c r="C19" s="51"/>
      <c r="D19" s="355">
        <f>Input!$BF$11</f>
        <v>-58100</v>
      </c>
      <c r="E19" s="355">
        <f>Input!$BG$11</f>
        <v>0</v>
      </c>
      <c r="F19" s="355">
        <f>Input!$BH$11</f>
        <v>0</v>
      </c>
      <c r="G19" s="355">
        <f>Input!$BI$11</f>
        <v>0</v>
      </c>
      <c r="H19" s="355">
        <f>Input!$BJ$11</f>
        <v>0</v>
      </c>
      <c r="I19" s="355">
        <f>Input!BK6</f>
        <v>0</v>
      </c>
      <c r="J19" s="355">
        <f>Input!$BL$11</f>
        <v>0</v>
      </c>
      <c r="K19" s="355">
        <f>Input!BM6</f>
        <v>0</v>
      </c>
      <c r="L19" s="355">
        <f>Input!BN6</f>
        <v>0</v>
      </c>
      <c r="M19" s="357">
        <f t="shared" si="3"/>
        <v>-58100</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Input!$BO$11</f>
        <v>-49140</v>
      </c>
      <c r="E20" s="355">
        <f>Input!$BP$11</f>
        <v>0</v>
      </c>
      <c r="F20" s="355">
        <f>Input!$BQ$11</f>
        <v>0</v>
      </c>
      <c r="G20" s="355">
        <f>Input!$BR$11</f>
        <v>0</v>
      </c>
      <c r="H20" s="355">
        <f>Input!$BS$11</f>
        <v>0</v>
      </c>
      <c r="I20" s="355">
        <f>Input!$BT$11</f>
        <v>0</v>
      </c>
      <c r="J20" s="355">
        <f>Input!BU6</f>
        <v>0</v>
      </c>
      <c r="K20" s="355">
        <f>Input!BV6</f>
        <v>0</v>
      </c>
      <c r="L20" s="355">
        <f>Input!$BW$11</f>
        <v>0</v>
      </c>
      <c r="M20" s="357">
        <f t="shared" si="3"/>
        <v>-49140</v>
      </c>
      <c r="O20" s="414" t="s">
        <v>215</v>
      </c>
      <c r="P20" s="415"/>
      <c r="Q20" s="416"/>
      <c r="R20" s="416"/>
      <c r="S20" s="537"/>
      <c r="U20" s="538" t="s">
        <v>997</v>
      </c>
      <c r="V20" s="296"/>
      <c r="W20" s="296"/>
      <c r="Y20" s="420"/>
    </row>
    <row r="21" spans="1:26" s="50" customFormat="1">
      <c r="A21" s="293"/>
      <c r="B21" s="51" t="s">
        <v>640</v>
      </c>
      <c r="C21" s="51"/>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430"/>
      <c r="R21" s="347"/>
      <c r="S21" s="539"/>
      <c r="U21" s="621" t="s">
        <v>998</v>
      </c>
      <c r="V21" s="296"/>
      <c r="W21" s="296"/>
      <c r="X21" s="622">
        <f>M44</f>
        <v>182967</v>
      </c>
      <c r="Y21" s="420"/>
      <c r="Z21" s="326"/>
    </row>
    <row r="22" spans="1:26" s="50" customFormat="1">
      <c r="A22" s="293"/>
      <c r="B22" s="51" t="s">
        <v>641</v>
      </c>
      <c r="C22" s="51"/>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99"/>
      <c r="O22" s="430" t="s">
        <v>999</v>
      </c>
      <c r="P22" s="305"/>
      <c r="Q22" s="419">
        <f>M23</f>
        <v>154040</v>
      </c>
      <c r="S22" s="540"/>
      <c r="U22" s="621" t="s">
        <v>1000</v>
      </c>
      <c r="V22" s="296"/>
      <c r="W22" s="296"/>
      <c r="X22" s="623">
        <f>R30*-1</f>
        <v>0</v>
      </c>
      <c r="Y22" s="420"/>
    </row>
    <row r="23" spans="1:26" s="50" customFormat="1" ht="12.75" customHeight="1">
      <c r="A23" s="293"/>
      <c r="B23" s="536" t="s">
        <v>642</v>
      </c>
      <c r="C23" s="179"/>
      <c r="D23" s="541">
        <f>Input!$CP$11</f>
        <v>66732</v>
      </c>
      <c r="E23" s="541">
        <f>Input!$CQ$11</f>
        <v>87308</v>
      </c>
      <c r="F23" s="541">
        <f>Input!$CR$11</f>
        <v>0</v>
      </c>
      <c r="G23" s="541">
        <f>Input!$CS$11</f>
        <v>0</v>
      </c>
      <c r="H23" s="541">
        <f>Input!$CT$11</f>
        <v>0</v>
      </c>
      <c r="I23" s="541">
        <f>Input!$CU$11</f>
        <v>0</v>
      </c>
      <c r="J23" s="541">
        <f>Input!$CV$11</f>
        <v>0</v>
      </c>
      <c r="K23" s="541">
        <f>Input!$CW$11</f>
        <v>0</v>
      </c>
      <c r="L23" s="541">
        <f>Input!$CX$11</f>
        <v>0</v>
      </c>
      <c r="M23" s="542">
        <f t="shared" si="3"/>
        <v>154040</v>
      </c>
      <c r="O23" s="430"/>
      <c r="P23" s="305"/>
      <c r="Q23" s="419"/>
      <c r="S23" s="540"/>
      <c r="U23" s="538" t="s">
        <v>1185</v>
      </c>
      <c r="V23" s="296"/>
      <c r="W23" s="296"/>
      <c r="X23" s="305"/>
      <c r="Y23" s="420">
        <f>SUM(X21:X22)</f>
        <v>182967</v>
      </c>
      <c r="Z23" s="326"/>
    </row>
    <row r="24" spans="1:26" s="50" customFormat="1" ht="12.75" customHeight="1">
      <c r="A24" s="293"/>
      <c r="B24" s="51" t="s">
        <v>643</v>
      </c>
      <c r="C24" s="180"/>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43">
        <f t="shared" si="3"/>
        <v>0</v>
      </c>
      <c r="O24" s="418" t="s">
        <v>1001</v>
      </c>
      <c r="P24" s="305"/>
      <c r="Q24" s="342"/>
      <c r="R24" s="342">
        <f>SUM(M24:M28)</f>
        <v>0</v>
      </c>
      <c r="S24" s="540"/>
      <c r="U24" s="538"/>
      <c r="V24" s="296"/>
      <c r="W24" s="296"/>
      <c r="Y24" s="420"/>
      <c r="Z24" s="326"/>
    </row>
    <row r="25" spans="1:26" s="50" customFormat="1" ht="12.75" customHeight="1">
      <c r="A25" s="293"/>
      <c r="B25" s="51" t="s">
        <v>644</v>
      </c>
      <c r="C25" s="180"/>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43">
        <f t="shared" si="3"/>
        <v>0</v>
      </c>
      <c r="O25" s="430"/>
      <c r="P25" s="305"/>
      <c r="Q25" s="342"/>
      <c r="R25" s="342"/>
      <c r="S25" s="540"/>
      <c r="U25" s="544" t="s">
        <v>1045</v>
      </c>
      <c r="V25" s="545"/>
      <c r="W25" s="545"/>
      <c r="X25" s="624">
        <f>(M26+M39)*-1</f>
        <v>0</v>
      </c>
      <c r="Y25" s="420"/>
      <c r="Z25" s="326"/>
    </row>
    <row r="26" spans="1:26" s="50" customFormat="1" ht="12.75" customHeight="1">
      <c r="A26" s="293"/>
      <c r="B26" s="51" t="s">
        <v>645</v>
      </c>
      <c r="C26" s="180"/>
      <c r="D26" s="355">
        <f>Input!$DQ$11</f>
        <v>0</v>
      </c>
      <c r="E26" s="355">
        <f>Input!$DR$11</f>
        <v>0</v>
      </c>
      <c r="F26" s="355">
        <f>Input!$DS$11</f>
        <v>0</v>
      </c>
      <c r="G26" s="355">
        <f>Input!$DT$11</f>
        <v>0</v>
      </c>
      <c r="H26" s="355">
        <f>Input!$DU$11</f>
        <v>0</v>
      </c>
      <c r="I26" s="355">
        <f>Input!$DV$11</f>
        <v>0</v>
      </c>
      <c r="J26" s="355">
        <f>Input!$DW$11</f>
        <v>0</v>
      </c>
      <c r="K26" s="355">
        <f>Input!$DX$11</f>
        <v>0</v>
      </c>
      <c r="L26" s="355">
        <f>Input!$DY$11</f>
        <v>0</v>
      </c>
      <c r="M26" s="543">
        <f t="shared" si="3"/>
        <v>0</v>
      </c>
      <c r="O26" s="430" t="s">
        <v>1002</v>
      </c>
      <c r="P26" s="305"/>
      <c r="Q26" s="422">
        <f>M36</f>
        <v>28927</v>
      </c>
      <c r="R26" s="423"/>
      <c r="S26" s="546"/>
      <c r="U26" s="538" t="s">
        <v>1046</v>
      </c>
      <c r="V26" s="296"/>
      <c r="W26" s="296"/>
      <c r="X26" s="547">
        <f>(M21+M34)*-1</f>
        <v>0</v>
      </c>
      <c r="Y26" s="420"/>
      <c r="Z26" s="326"/>
    </row>
    <row r="27" spans="1:26" s="50" customFormat="1">
      <c r="A27" s="293"/>
      <c r="B27" s="51" t="s">
        <v>646</v>
      </c>
      <c r="C27" s="180"/>
      <c r="D27" s="355">
        <f>Input!$DZ$11</f>
        <v>0</v>
      </c>
      <c r="E27" s="355">
        <f>Input!$EA$11</f>
        <v>0</v>
      </c>
      <c r="F27" s="355">
        <f>Input!$EB$11</f>
        <v>0</v>
      </c>
      <c r="G27" s="355">
        <f>Input!$EC$11</f>
        <v>0</v>
      </c>
      <c r="H27" s="355">
        <f>Input!$ED$11</f>
        <v>0</v>
      </c>
      <c r="I27" s="355">
        <f>Input!$EE$11</f>
        <v>0</v>
      </c>
      <c r="J27" s="355">
        <f>Input!$EF$11</f>
        <v>0</v>
      </c>
      <c r="K27" s="355">
        <f>Input!$EG$11</f>
        <v>0</v>
      </c>
      <c r="L27" s="355">
        <f>Input!$EH$11</f>
        <v>0</v>
      </c>
      <c r="M27" s="543">
        <f t="shared" si="3"/>
        <v>0</v>
      </c>
      <c r="O27" s="430"/>
      <c r="P27" s="305"/>
      <c r="Q27" s="422"/>
      <c r="R27" s="423"/>
      <c r="S27" s="546"/>
      <c r="U27" s="621" t="s">
        <v>1047</v>
      </c>
      <c r="V27" s="221"/>
      <c r="W27" s="221"/>
      <c r="X27" s="625">
        <f>SUM(X25:X26)</f>
        <v>0</v>
      </c>
      <c r="Y27" s="626"/>
    </row>
    <row r="28" spans="1:26" s="50" customFormat="1">
      <c r="A28" s="293"/>
      <c r="B28" s="51" t="s">
        <v>1361</v>
      </c>
      <c r="C28" s="180"/>
      <c r="D28" s="355">
        <f>Input!$EI$11</f>
        <v>0</v>
      </c>
      <c r="E28" s="355">
        <f>Input!$EJ$11</f>
        <v>0</v>
      </c>
      <c r="F28" s="355">
        <f>Input!$EK$11</f>
        <v>0</v>
      </c>
      <c r="G28" s="355">
        <f>Input!$EL$11</f>
        <v>0</v>
      </c>
      <c r="H28" s="355">
        <f>Input!$EM$11</f>
        <v>0</v>
      </c>
      <c r="I28" s="355">
        <f>Input!$EN$11</f>
        <v>0</v>
      </c>
      <c r="J28" s="355">
        <f>Input!$EO$11</f>
        <v>0</v>
      </c>
      <c r="K28" s="355">
        <f>Input!$EP$11</f>
        <v>0</v>
      </c>
      <c r="L28" s="355">
        <f>Input!$EQ$11</f>
        <v>0</v>
      </c>
      <c r="M28" s="543">
        <f t="shared" si="3"/>
        <v>0</v>
      </c>
      <c r="O28" s="418" t="s">
        <v>1003</v>
      </c>
      <c r="Q28" s="425"/>
      <c r="R28" s="342">
        <f>SUM(M37:M41)</f>
        <v>0</v>
      </c>
      <c r="S28" s="540"/>
      <c r="U28" s="538" t="s">
        <v>1048</v>
      </c>
      <c r="V28" s="296"/>
      <c r="W28" s="296"/>
      <c r="X28" s="420">
        <f>(M27+M40)*-1</f>
        <v>0</v>
      </c>
      <c r="Y28" s="626"/>
      <c r="Z28" s="326"/>
    </row>
    <row r="29" spans="1:26" s="50" customFormat="1" ht="12" customHeight="1">
      <c r="A29" s="293"/>
      <c r="B29" s="551" t="s">
        <v>37</v>
      </c>
      <c r="C29" s="179"/>
      <c r="D29" s="356">
        <f t="shared" ref="D29:L29" si="4">SUM(D23:D28)</f>
        <v>66732</v>
      </c>
      <c r="E29" s="356">
        <f t="shared" si="4"/>
        <v>87308</v>
      </c>
      <c r="F29" s="356">
        <f t="shared" si="4"/>
        <v>0</v>
      </c>
      <c r="G29" s="356">
        <f t="shared" si="4"/>
        <v>0</v>
      </c>
      <c r="H29" s="356">
        <f t="shared" si="4"/>
        <v>0</v>
      </c>
      <c r="I29" s="356">
        <f t="shared" si="4"/>
        <v>0</v>
      </c>
      <c r="J29" s="356">
        <f t="shared" si="4"/>
        <v>0</v>
      </c>
      <c r="K29" s="356">
        <f t="shared" si="4"/>
        <v>0</v>
      </c>
      <c r="L29" s="356">
        <f t="shared" si="4"/>
        <v>0</v>
      </c>
      <c r="M29" s="356">
        <f t="shared" si="3"/>
        <v>154040</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182967</v>
      </c>
      <c r="R30" s="429">
        <f>R28+R24</f>
        <v>0</v>
      </c>
      <c r="S30" s="553"/>
      <c r="U30" s="621" t="s">
        <v>1050</v>
      </c>
      <c r="V30" s="221"/>
      <c r="W30" s="221"/>
      <c r="X30" s="625">
        <f>SUM(X28:X29)</f>
        <v>0</v>
      </c>
      <c r="Y30" s="626"/>
    </row>
    <row r="31" spans="1:26" s="50" customFormat="1" ht="12.75" customHeight="1">
      <c r="A31" s="293"/>
      <c r="B31" s="536" t="s">
        <v>1005</v>
      </c>
      <c r="C31" s="536"/>
      <c r="D31" s="356">
        <f t="shared" ref="D31:L31" si="5">D36-SUM(D32:D35)</f>
        <v>990</v>
      </c>
      <c r="E31" s="356">
        <f t="shared" si="5"/>
        <v>27937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28927</v>
      </c>
      <c r="O31" s="430" t="s">
        <v>217</v>
      </c>
      <c r="P31" s="305"/>
      <c r="Q31" s="349"/>
      <c r="R31" s="305"/>
      <c r="S31" s="540"/>
      <c r="U31" s="548" t="s">
        <v>1051</v>
      </c>
      <c r="V31" s="549"/>
      <c r="W31" s="549"/>
      <c r="X31" s="550">
        <f>X27+X30</f>
        <v>0</v>
      </c>
      <c r="Y31" s="420"/>
      <c r="Z31" s="326"/>
    </row>
    <row r="32" spans="1:26" s="50" customFormat="1" ht="12.75" customHeight="1">
      <c r="A32" s="293"/>
      <c r="B32" s="51" t="s">
        <v>638</v>
      </c>
      <c r="C32" s="51"/>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43">
        <f t="shared" si="6"/>
        <v>0</v>
      </c>
      <c r="O32" s="431" t="s">
        <v>1245</v>
      </c>
      <c r="P32" s="432"/>
      <c r="Q32" s="433">
        <f>Input!$TI$11</f>
        <v>182967</v>
      </c>
      <c r="R32" s="432"/>
      <c r="S32" s="554"/>
      <c r="U32" s="538"/>
      <c r="V32" s="296"/>
      <c r="W32" s="296"/>
      <c r="Y32" s="420"/>
      <c r="Z32" s="326"/>
    </row>
    <row r="33" spans="1:28" s="50" customFormat="1">
      <c r="A33" s="293"/>
      <c r="B33" s="51" t="s">
        <v>639</v>
      </c>
      <c r="C33" s="51"/>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43">
        <f t="shared" si="6"/>
        <v>0</v>
      </c>
      <c r="O33" s="431"/>
      <c r="P33" s="432"/>
      <c r="Q33" s="342"/>
      <c r="R33" s="432"/>
      <c r="S33" s="554"/>
      <c r="U33" s="538" t="s">
        <v>1004</v>
      </c>
      <c r="V33" s="296"/>
      <c r="W33" s="296"/>
      <c r="X33" s="347">
        <f>(M19+M32)*-1</f>
        <v>58100</v>
      </c>
      <c r="Y33" s="420"/>
    </row>
    <row r="34" spans="1:28" s="50" customFormat="1">
      <c r="A34" s="293"/>
      <c r="B34" s="51" t="s">
        <v>640</v>
      </c>
      <c r="C34" s="51"/>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43">
        <f t="shared" si="6"/>
        <v>0</v>
      </c>
      <c r="O34" s="434" t="s">
        <v>1246</v>
      </c>
      <c r="P34" s="435"/>
      <c r="Q34" s="50" t="s">
        <v>218</v>
      </c>
      <c r="R34" s="433">
        <f>Input!$TJ$11</f>
        <v>0</v>
      </c>
      <c r="S34" s="555"/>
      <c r="U34" s="538" t="s">
        <v>1052</v>
      </c>
      <c r="V34" s="296"/>
      <c r="W34" s="296"/>
      <c r="X34" s="426">
        <f>(M24+M37)*-1</f>
        <v>0</v>
      </c>
      <c r="Y34" s="420"/>
    </row>
    <row r="35" spans="1:28" s="50" customFormat="1" ht="13.5" thickBot="1">
      <c r="A35" s="293"/>
      <c r="B35" s="51" t="s">
        <v>641</v>
      </c>
      <c r="C35" s="51"/>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43">
        <f t="shared" si="6"/>
        <v>0</v>
      </c>
      <c r="O35" s="436" t="s">
        <v>219</v>
      </c>
      <c r="P35" s="437"/>
      <c r="Q35" s="438">
        <f>Q30-Q32</f>
        <v>0</v>
      </c>
      <c r="R35" s="439">
        <f>R30-R34</f>
        <v>0</v>
      </c>
      <c r="S35" s="556"/>
      <c r="U35" s="621" t="s">
        <v>1053</v>
      </c>
      <c r="V35" s="221"/>
      <c r="W35" s="221"/>
      <c r="X35" s="627">
        <f>SUM(X33:X34)</f>
        <v>58100</v>
      </c>
      <c r="Y35" s="626"/>
    </row>
    <row r="36" spans="1:28" s="50" customFormat="1" ht="13.5" thickTop="1">
      <c r="A36" s="293"/>
      <c r="B36" s="536" t="s">
        <v>648</v>
      </c>
      <c r="C36" s="179"/>
      <c r="D36" s="541">
        <f>Input!$GB$11</f>
        <v>990</v>
      </c>
      <c r="E36" s="541">
        <f>Input!$GC$11</f>
        <v>27937</v>
      </c>
      <c r="F36" s="541">
        <f>Input!$GD$11</f>
        <v>0</v>
      </c>
      <c r="G36" s="541">
        <f>Input!$GE$11</f>
        <v>0</v>
      </c>
      <c r="H36" s="541">
        <f>Input!$GF$11</f>
        <v>0</v>
      </c>
      <c r="I36" s="541">
        <f>Input!$GG$11</f>
        <v>0</v>
      </c>
      <c r="J36" s="541">
        <f>Input!$GH$11</f>
        <v>0</v>
      </c>
      <c r="K36" s="541">
        <f>Input!$GI$11</f>
        <v>0</v>
      </c>
      <c r="L36" s="541">
        <f>Input!$GJ$11</f>
        <v>0</v>
      </c>
      <c r="M36" s="542">
        <f t="shared" si="6"/>
        <v>28927</v>
      </c>
      <c r="O36" s="51"/>
      <c r="Q36" s="485" t="str">
        <f>IF(Q30&lt;&gt;Q32,"Out of Balance","Balanced")</f>
        <v>Balanced</v>
      </c>
      <c r="R36" s="485" t="str">
        <f>IF(R30&lt;&gt;R34,"Out of Balance","Balanced")</f>
        <v>Balanced</v>
      </c>
      <c r="U36" s="538" t="s">
        <v>1006</v>
      </c>
      <c r="V36" s="296"/>
      <c r="W36" s="296"/>
      <c r="X36" s="347">
        <f>(M20+M33)*-1</f>
        <v>49140</v>
      </c>
      <c r="Y36" s="420"/>
    </row>
    <row r="37" spans="1:28" s="50" customFormat="1">
      <c r="A37" s="293"/>
      <c r="B37" s="51" t="s">
        <v>643</v>
      </c>
      <c r="C37" s="180"/>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43">
        <f t="shared" si="6"/>
        <v>0</v>
      </c>
      <c r="O37" s="51"/>
      <c r="U37" s="538" t="s">
        <v>1054</v>
      </c>
      <c r="V37" s="296"/>
      <c r="W37" s="296"/>
      <c r="X37" s="426">
        <f>(M25+M38)*-1</f>
        <v>0</v>
      </c>
      <c r="Y37" s="626"/>
    </row>
    <row r="38" spans="1:28" s="50" customFormat="1">
      <c r="A38" s="293"/>
      <c r="B38" s="51" t="s">
        <v>644</v>
      </c>
      <c r="C38" s="180"/>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43">
        <f t="shared" si="6"/>
        <v>0</v>
      </c>
      <c r="O38" s="51"/>
      <c r="U38" s="621" t="s">
        <v>1055</v>
      </c>
      <c r="V38" s="221"/>
      <c r="W38" s="221"/>
      <c r="X38" s="627">
        <f>SUM(X36:X37)</f>
        <v>49140</v>
      </c>
      <c r="Y38" s="420"/>
    </row>
    <row r="39" spans="1:28" s="50" customFormat="1">
      <c r="A39" s="293"/>
      <c r="B39" s="51" t="s">
        <v>645</v>
      </c>
      <c r="C39" s="180"/>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43">
        <f t="shared" si="6"/>
        <v>0</v>
      </c>
      <c r="O39" s="51"/>
      <c r="U39" s="538" t="s">
        <v>1007</v>
      </c>
      <c r="V39" s="296"/>
      <c r="W39" s="296"/>
      <c r="X39" s="347"/>
      <c r="Y39" s="420">
        <f>X38+X35</f>
        <v>107240</v>
      </c>
    </row>
    <row r="40" spans="1:28" s="50" customFormat="1">
      <c r="A40" s="293"/>
      <c r="B40" s="51" t="s">
        <v>646</v>
      </c>
      <c r="C40" s="180"/>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43">
        <f t="shared" si="6"/>
        <v>0</v>
      </c>
      <c r="O40" s="51"/>
      <c r="U40" s="538"/>
      <c r="V40" s="51"/>
      <c r="W40" s="51"/>
      <c r="X40" s="51"/>
      <c r="Y40" s="626"/>
    </row>
    <row r="41" spans="1:28" s="50" customFormat="1">
      <c r="A41" s="293"/>
      <c r="B41" s="51" t="s">
        <v>1361</v>
      </c>
      <c r="C41" s="180"/>
      <c r="D41" s="355">
        <f>Input!$HU$11</f>
        <v>0</v>
      </c>
      <c r="E41" s="355">
        <f>Input!$HV$11</f>
        <v>0</v>
      </c>
      <c r="F41" s="355">
        <f>Input!$HW$11</f>
        <v>0</v>
      </c>
      <c r="G41" s="355">
        <f>Input!$HX$11</f>
        <v>0</v>
      </c>
      <c r="H41" s="355">
        <f>Input!$HY$11</f>
        <v>0</v>
      </c>
      <c r="I41" s="355">
        <f>Input!$HZ$11</f>
        <v>0</v>
      </c>
      <c r="J41" s="355">
        <f>Input!$IA$11</f>
        <v>0</v>
      </c>
      <c r="K41" s="355">
        <f>Input!$IB$11</f>
        <v>0</v>
      </c>
      <c r="L41" s="355">
        <f>Input!$IC$11</f>
        <v>0</v>
      </c>
      <c r="M41" s="543">
        <f t="shared" si="6"/>
        <v>0</v>
      </c>
      <c r="O41"/>
      <c r="P41"/>
      <c r="Q41"/>
      <c r="R41"/>
      <c r="S41"/>
      <c r="U41" s="538" t="s">
        <v>1046</v>
      </c>
      <c r="V41" s="296"/>
      <c r="W41" s="296"/>
      <c r="X41" s="326">
        <f>(M21+M34)*-1</f>
        <v>0</v>
      </c>
      <c r="Y41" s="420"/>
    </row>
    <row r="42" spans="1:28" s="50" customFormat="1">
      <c r="A42" s="293"/>
      <c r="B42" s="551" t="s">
        <v>38</v>
      </c>
      <c r="C42" s="179"/>
      <c r="D42" s="356">
        <f t="shared" ref="D42:L42" si="7">SUM(D36:D41)</f>
        <v>990</v>
      </c>
      <c r="E42" s="356">
        <f t="shared" si="7"/>
        <v>27937</v>
      </c>
      <c r="F42" s="356">
        <f t="shared" si="7"/>
        <v>0</v>
      </c>
      <c r="G42" s="356">
        <f t="shared" si="7"/>
        <v>0</v>
      </c>
      <c r="H42" s="356">
        <f t="shared" si="7"/>
        <v>0</v>
      </c>
      <c r="I42" s="356">
        <f t="shared" si="7"/>
        <v>0</v>
      </c>
      <c r="J42" s="356">
        <f t="shared" si="7"/>
        <v>0</v>
      </c>
      <c r="K42" s="356">
        <f t="shared" si="7"/>
        <v>0</v>
      </c>
      <c r="L42" s="356">
        <f t="shared" si="7"/>
        <v>0</v>
      </c>
      <c r="M42" s="356">
        <f t="shared" si="6"/>
        <v>28927</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67722</v>
      </c>
      <c r="E44" s="356">
        <f t="shared" si="8"/>
        <v>115245</v>
      </c>
      <c r="F44" s="356">
        <f t="shared" si="8"/>
        <v>0</v>
      </c>
      <c r="G44" s="356">
        <f t="shared" si="8"/>
        <v>0</v>
      </c>
      <c r="H44" s="356">
        <f t="shared" si="8"/>
        <v>0</v>
      </c>
      <c r="I44" s="356">
        <f t="shared" si="8"/>
        <v>0</v>
      </c>
      <c r="J44" s="356">
        <f t="shared" si="8"/>
        <v>0</v>
      </c>
      <c r="K44" s="356">
        <f t="shared" si="8"/>
        <v>0</v>
      </c>
      <c r="L44" s="356">
        <f t="shared" si="8"/>
        <v>0</v>
      </c>
      <c r="M44" s="356">
        <f>D44+E44+F44+G44+H44+I44+J44+K44+L44</f>
        <v>182967</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Input!$ID$11</f>
        <v>0</v>
      </c>
      <c r="E47" s="358">
        <f>Input!$IE$11</f>
        <v>2110775</v>
      </c>
      <c r="F47" s="358">
        <f>Input!$IF$11</f>
        <v>0</v>
      </c>
      <c r="G47" s="358">
        <f>Input!$IG$11</f>
        <v>8115738</v>
      </c>
      <c r="H47" s="358">
        <f>Input!$IH$11</f>
        <v>0</v>
      </c>
      <c r="I47" s="358">
        <f>Input!$II$11</f>
        <v>0</v>
      </c>
      <c r="J47" s="358">
        <f>Input!$IJ$11</f>
        <v>0</v>
      </c>
      <c r="K47" s="358">
        <f>Input!$IK$11</f>
        <v>0</v>
      </c>
      <c r="L47" s="358">
        <f>Input!$IL$11</f>
        <v>0</v>
      </c>
      <c r="M47" s="356">
        <f>D47+E47+F47+G47+H47+I47+J47+K47+L47</f>
        <v>10226513</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290207</v>
      </c>
      <c r="Z49" s="50"/>
      <c r="AA49" s="50"/>
      <c r="AB49" s="50"/>
    </row>
    <row r="50" spans="1:28" s="149" customFormat="1">
      <c r="A50" s="147">
        <v>33</v>
      </c>
      <c r="B50" s="158" t="s">
        <v>56</v>
      </c>
      <c r="C50" s="158"/>
      <c r="D50" s="358">
        <f>Input!$IM$11</f>
        <v>0</v>
      </c>
      <c r="E50" s="358">
        <f>Input!$IN$11</f>
        <v>17429053</v>
      </c>
      <c r="F50" s="358">
        <f>Input!$IO$11</f>
        <v>0</v>
      </c>
      <c r="G50" s="358">
        <f>Input!$IP$11</f>
        <v>0</v>
      </c>
      <c r="H50" s="358">
        <f>Input!$IQ$11</f>
        <v>0</v>
      </c>
      <c r="I50" s="358">
        <f>Input!$IR$11</f>
        <v>0</v>
      </c>
      <c r="J50" s="358">
        <f>Input!$IS$11</f>
        <v>0</v>
      </c>
      <c r="K50" s="358">
        <f>Input!$IT$11</f>
        <v>0</v>
      </c>
      <c r="L50" s="358">
        <f>Input!$IU$11</f>
        <v>0</v>
      </c>
      <c r="M50" s="356">
        <f>D50+E50+F50+G50+H50+I50+J50+K50+L50</f>
        <v>17429053</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Input!$IV$11</f>
        <v>62486035</v>
      </c>
      <c r="E53" s="358">
        <f>Input!$IW$11</f>
        <v>0</v>
      </c>
      <c r="F53" s="358">
        <f>Input!$IX$11</f>
        <v>0</v>
      </c>
      <c r="G53" s="358">
        <f>Input!$IY$11</f>
        <v>0</v>
      </c>
      <c r="H53" s="358">
        <f>Input!$IZ$11</f>
        <v>0</v>
      </c>
      <c r="I53" s="358">
        <f>Input!$JA$11</f>
        <v>0</v>
      </c>
      <c r="J53" s="358">
        <f>Input!$JB$11</f>
        <v>0</v>
      </c>
      <c r="K53" s="358">
        <f>Input!$JC$11</f>
        <v>0</v>
      </c>
      <c r="L53" s="358">
        <f>Input!$JD$11</f>
        <v>0</v>
      </c>
      <c r="M53" s="356">
        <f>D53+E53+F53+G53+H53+I53+J53+K53+L53</f>
        <v>62486035</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Input!$JE$11</f>
        <v>52177</v>
      </c>
      <c r="E56" s="355">
        <f>Input!$JF$11</f>
        <v>3775489</v>
      </c>
      <c r="F56" s="355">
        <f>Input!$JG$11</f>
        <v>0</v>
      </c>
      <c r="G56" s="355">
        <f>Input!$JH$11</f>
        <v>634948</v>
      </c>
      <c r="H56" s="355">
        <f>Input!$JI$11</f>
        <v>0</v>
      </c>
      <c r="I56" s="355">
        <f>Input!$JJ$11</f>
        <v>0</v>
      </c>
      <c r="J56" s="355">
        <f>Input!$JK$11</f>
        <v>0</v>
      </c>
      <c r="K56" s="355">
        <f>Input!$JL$11</f>
        <v>0</v>
      </c>
      <c r="L56" s="355">
        <f>Input!$JM$11</f>
        <v>0</v>
      </c>
      <c r="M56" s="357">
        <f t="shared" ref="M56:M62" si="9">D56+E56+F56+G56+H56+I56+J56+K56+L56</f>
        <v>4462614</v>
      </c>
      <c r="O56" s="51"/>
      <c r="P56" s="50"/>
      <c r="Q56" s="50"/>
      <c r="R56" s="50"/>
      <c r="S56" s="50"/>
      <c r="T56" s="50"/>
      <c r="U56" s="50"/>
      <c r="V56" s="50"/>
      <c r="W56" s="50"/>
      <c r="X56" s="306"/>
      <c r="Y56" s="50"/>
      <c r="Z56" s="50"/>
      <c r="AA56" s="50"/>
      <c r="AB56" s="50"/>
    </row>
    <row r="57" spans="1:28" s="149" customFormat="1">
      <c r="A57" s="147">
        <v>40</v>
      </c>
      <c r="B57" s="149" t="s">
        <v>9</v>
      </c>
      <c r="D57" s="355">
        <f>Input!$JN$11</f>
        <v>0</v>
      </c>
      <c r="E57" s="355">
        <f>Input!$JO$11</f>
        <v>0</v>
      </c>
      <c r="F57" s="355">
        <f>Input!$JP$11</f>
        <v>0</v>
      </c>
      <c r="G57" s="355">
        <f>Input!$JQ$11</f>
        <v>0</v>
      </c>
      <c r="H57" s="355">
        <f>Input!$JR$11</f>
        <v>0</v>
      </c>
      <c r="I57" s="355">
        <f>Input!$JS$11</f>
        <v>0</v>
      </c>
      <c r="J57" s="355">
        <f>Input!$JT$11</f>
        <v>0</v>
      </c>
      <c r="K57" s="355">
        <f>Input!$JU$11</f>
        <v>0</v>
      </c>
      <c r="L57" s="355">
        <f>Input!$JV$11</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Input!$JW$11</f>
        <v>1138377</v>
      </c>
      <c r="E58" s="355">
        <f>Input!$JX$11</f>
        <v>4848342</v>
      </c>
      <c r="F58" s="355">
        <f>Input!$JY$11</f>
        <v>0</v>
      </c>
      <c r="G58" s="355">
        <f>Input!$JZ$11</f>
        <v>4725930</v>
      </c>
      <c r="H58" s="355">
        <f>Input!$KA$11</f>
        <v>0</v>
      </c>
      <c r="I58" s="355">
        <f>Input!$KB$11</f>
        <v>0</v>
      </c>
      <c r="J58" s="355">
        <f>Input!$KC$11</f>
        <v>617641</v>
      </c>
      <c r="K58" s="355">
        <f>Input!$KD$11</f>
        <v>0</v>
      </c>
      <c r="L58" s="355">
        <f>Input!$KE$11</f>
        <v>0</v>
      </c>
      <c r="M58" s="357">
        <f t="shared" si="9"/>
        <v>11330290</v>
      </c>
      <c r="O58" s="302"/>
      <c r="P58" s="50"/>
      <c r="Q58" s="50"/>
      <c r="R58" s="50"/>
      <c r="S58" s="50"/>
      <c r="T58" s="50"/>
      <c r="U58" s="50"/>
      <c r="V58" s="50"/>
      <c r="W58" s="50"/>
      <c r="X58" s="50"/>
      <c r="Y58" s="50"/>
      <c r="Z58" s="50"/>
      <c r="AA58" s="50"/>
      <c r="AB58" s="50"/>
    </row>
    <row r="59" spans="1:28" s="149" customFormat="1" ht="13.5" thickBot="1">
      <c r="A59" s="147">
        <v>42</v>
      </c>
      <c r="B59" s="149" t="s">
        <v>54</v>
      </c>
      <c r="D59" s="355">
        <f>Input!$KF$11</f>
        <v>1262423</v>
      </c>
      <c r="E59" s="355">
        <f>Input!$KG$11</f>
        <v>1939275</v>
      </c>
      <c r="F59" s="355">
        <f>Input!$KH$11</f>
        <v>0</v>
      </c>
      <c r="G59" s="355">
        <f>Input!$KI$11</f>
        <v>477323</v>
      </c>
      <c r="H59" s="355">
        <f>Input!$KJ$11</f>
        <v>0</v>
      </c>
      <c r="I59" s="355">
        <f>Input!$KK$11</f>
        <v>0</v>
      </c>
      <c r="J59" s="355">
        <f>Input!$KL$11</f>
        <v>0</v>
      </c>
      <c r="K59" s="355">
        <f>Input!$KM$11</f>
        <v>0</v>
      </c>
      <c r="L59" s="355">
        <f>Input!$KN$11</f>
        <v>0</v>
      </c>
      <c r="M59" s="357">
        <f t="shared" si="9"/>
        <v>3679021</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Input!$KO$11</f>
        <v>0</v>
      </c>
      <c r="E60" s="355">
        <f>Input!$KP$11</f>
        <v>0</v>
      </c>
      <c r="F60" s="355">
        <f>Input!$KQ$11</f>
        <v>164836</v>
      </c>
      <c r="G60" s="355">
        <f>Input!$KR$11</f>
        <v>0</v>
      </c>
      <c r="H60" s="355">
        <f>Input!$KS$11</f>
        <v>0</v>
      </c>
      <c r="I60" s="355">
        <f>Input!$KT$11</f>
        <v>0</v>
      </c>
      <c r="J60" s="355">
        <f>Input!$KU$11</f>
        <v>0</v>
      </c>
      <c r="K60" s="355">
        <f>Input!$KV$11</f>
        <v>0</v>
      </c>
      <c r="L60" s="355">
        <f>Input!$KW$11</f>
        <v>0</v>
      </c>
      <c r="M60" s="357">
        <f t="shared" si="9"/>
        <v>164836</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Input!$KX$11</f>
        <v>1089850</v>
      </c>
      <c r="E61" s="355">
        <f>Input!$KY$11</f>
        <v>22284252</v>
      </c>
      <c r="F61" s="355">
        <f>Input!$KZ$11</f>
        <v>0</v>
      </c>
      <c r="G61" s="355">
        <f>Input!$LA$11</f>
        <v>85148</v>
      </c>
      <c r="H61" s="355">
        <f>Input!$LB$11</f>
        <v>0</v>
      </c>
      <c r="I61" s="355">
        <f>Input!$LC$11</f>
        <v>0</v>
      </c>
      <c r="J61" s="355">
        <f>Input!$LD$11</f>
        <v>0</v>
      </c>
      <c r="K61" s="355">
        <f>Input!$LE$11</f>
        <v>0</v>
      </c>
      <c r="L61" s="355">
        <f>Input!$LF$11</f>
        <v>-267523</v>
      </c>
      <c r="M61" s="357">
        <f t="shared" si="9"/>
        <v>23191727</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3542827</v>
      </c>
      <c r="E62" s="356">
        <f t="shared" si="10"/>
        <v>32847358</v>
      </c>
      <c r="F62" s="356">
        <f t="shared" si="10"/>
        <v>164836</v>
      </c>
      <c r="G62" s="356">
        <f t="shared" si="10"/>
        <v>5923349</v>
      </c>
      <c r="H62" s="356">
        <f t="shared" si="10"/>
        <v>0</v>
      </c>
      <c r="I62" s="356">
        <f t="shared" si="10"/>
        <v>0</v>
      </c>
      <c r="J62" s="356">
        <f t="shared" si="10"/>
        <v>617641</v>
      </c>
      <c r="K62" s="356">
        <f t="shared" si="10"/>
        <v>0</v>
      </c>
      <c r="L62" s="356">
        <f t="shared" si="10"/>
        <v>-267523</v>
      </c>
      <c r="M62" s="356">
        <f t="shared" si="9"/>
        <v>42828488</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126700344</v>
      </c>
      <c r="E63" s="356">
        <f t="shared" ref="E63:M63" si="11">E15+E44+E47+E50+E53+E62</f>
        <v>53369970</v>
      </c>
      <c r="F63" s="356">
        <f t="shared" si="11"/>
        <v>164836</v>
      </c>
      <c r="G63" s="356">
        <f t="shared" si="11"/>
        <v>17096358</v>
      </c>
      <c r="H63" s="356">
        <f t="shared" si="11"/>
        <v>0</v>
      </c>
      <c r="I63" s="356">
        <f t="shared" si="11"/>
        <v>0</v>
      </c>
      <c r="J63" s="356">
        <f t="shared" si="11"/>
        <v>617641</v>
      </c>
      <c r="K63" s="356">
        <f t="shared" si="11"/>
        <v>0</v>
      </c>
      <c r="L63" s="356">
        <f t="shared" si="11"/>
        <v>-267523</v>
      </c>
      <c r="M63" s="356">
        <f t="shared" si="11"/>
        <v>197681626</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Input!$LG$11</f>
        <v>8583696</v>
      </c>
      <c r="E65" s="355">
        <f>Input!$LH$11</f>
        <v>4544795</v>
      </c>
      <c r="F65" s="355">
        <f>Input!$LI$11</f>
        <v>0</v>
      </c>
      <c r="G65" s="355">
        <f>Input!$LJ$11</f>
        <v>4245019</v>
      </c>
      <c r="H65" s="355">
        <f>Input!$LK$11</f>
        <v>0</v>
      </c>
      <c r="I65" s="355">
        <f>Input!$LL$11</f>
        <v>0</v>
      </c>
      <c r="J65" s="355">
        <f>Input!$LM$11</f>
        <v>0</v>
      </c>
      <c r="K65" s="355">
        <f>Input!$LN$11</f>
        <v>0</v>
      </c>
      <c r="L65" s="355">
        <f>Input!$LO$11</f>
        <v>0</v>
      </c>
      <c r="M65" s="357">
        <f t="shared" ref="M65:M77" si="12">D65+E65+F65+G65+H65+I65+J65+K65+L65</f>
        <v>17373510</v>
      </c>
      <c r="O65" s="310">
        <f>D65+E65+G65</f>
        <v>17373510</v>
      </c>
      <c r="P65" s="311">
        <f>Input!$TK$11</f>
        <v>25830</v>
      </c>
      <c r="Q65" s="311">
        <f>Input!$TU$11</f>
        <v>0</v>
      </c>
      <c r="R65" s="311">
        <f>Input!$UD$11</f>
        <v>0</v>
      </c>
      <c r="S65" s="312">
        <f>O65+P65-Q65-R65</f>
        <v>17399340</v>
      </c>
      <c r="T65" s="313"/>
      <c r="U65" s="494">
        <f>D65+E65+F65+G65+J65</f>
        <v>17373510</v>
      </c>
      <c r="V65" s="313"/>
      <c r="W65" s="314" t="s">
        <v>14</v>
      </c>
      <c r="X65" s="487">
        <f>Input!$UO$11</f>
        <v>17373510</v>
      </c>
      <c r="Y65" s="315">
        <f t="shared" ref="Y65:Y74" si="13">X65-M65</f>
        <v>0</v>
      </c>
      <c r="Z65" s="313"/>
      <c r="AA65" s="313"/>
      <c r="AB65" s="313"/>
    </row>
    <row r="66" spans="1:28" s="149" customFormat="1" ht="14.25" thickTop="1" thickBot="1">
      <c r="A66" s="147">
        <v>49</v>
      </c>
      <c r="B66" s="161" t="s">
        <v>15</v>
      </c>
      <c r="C66" s="161"/>
      <c r="D66" s="355">
        <f>Input!$LP$11</f>
        <v>4652688</v>
      </c>
      <c r="E66" s="355">
        <f>Input!$LQ$11</f>
        <v>2902864</v>
      </c>
      <c r="F66" s="355">
        <f>Input!$LR$11</f>
        <v>0</v>
      </c>
      <c r="G66" s="355">
        <f>Input!$LS$11</f>
        <v>8391376</v>
      </c>
      <c r="H66" s="355">
        <f>Input!$LT$11</f>
        <v>0</v>
      </c>
      <c r="I66" s="355">
        <f>Input!$LU$11</f>
        <v>0</v>
      </c>
      <c r="J66" s="355">
        <f>Input!$LV$11</f>
        <v>0</v>
      </c>
      <c r="K66" s="355">
        <f>Input!$LW$11</f>
        <v>0</v>
      </c>
      <c r="L66" s="355">
        <f>Input!$LX$11</f>
        <v>0</v>
      </c>
      <c r="M66" s="357">
        <f t="shared" si="12"/>
        <v>15946928</v>
      </c>
      <c r="O66" s="316">
        <f t="shared" ref="O66:O72" si="14">D66+E66+G66</f>
        <v>15946928</v>
      </c>
      <c r="P66" s="317">
        <f>Input!$TL$11</f>
        <v>1099244</v>
      </c>
      <c r="Q66" s="317">
        <f>Input!$TV$11</f>
        <v>452787</v>
      </c>
      <c r="R66" s="317">
        <f>Input!$UE$11</f>
        <v>0</v>
      </c>
      <c r="S66" s="318">
        <f>O66+P66-Q66-R66</f>
        <v>16593385</v>
      </c>
      <c r="T66" s="313"/>
      <c r="U66" s="495">
        <f t="shared" ref="U66:U76" si="15">D66+E66+F66+G66+J66</f>
        <v>15946928</v>
      </c>
      <c r="V66" s="313"/>
      <c r="W66" s="314" t="s">
        <v>15</v>
      </c>
      <c r="X66" s="363">
        <f>Input!$UP$11</f>
        <v>15946928</v>
      </c>
      <c r="Y66" s="319">
        <f t="shared" si="13"/>
        <v>0</v>
      </c>
      <c r="Z66" s="320"/>
      <c r="AA66" s="320"/>
      <c r="AB66" s="320"/>
    </row>
    <row r="67" spans="1:28" s="149" customFormat="1" ht="13.5" thickTop="1">
      <c r="A67" s="147">
        <v>50</v>
      </c>
      <c r="B67" s="161" t="s">
        <v>16</v>
      </c>
      <c r="C67" s="161"/>
      <c r="D67" s="355">
        <f>Input!$LY$11</f>
        <v>0</v>
      </c>
      <c r="E67" s="355">
        <f>Input!$LZ$11</f>
        <v>0</v>
      </c>
      <c r="F67" s="355">
        <f>Input!$MA$11</f>
        <v>0</v>
      </c>
      <c r="G67" s="355">
        <f>Input!$MB$11</f>
        <v>0</v>
      </c>
      <c r="H67" s="355">
        <f>Input!$MC$11</f>
        <v>0</v>
      </c>
      <c r="I67" s="355">
        <f>Input!$MD$11</f>
        <v>0</v>
      </c>
      <c r="J67" s="355">
        <f>Input!$ME$11</f>
        <v>0</v>
      </c>
      <c r="K67" s="355">
        <f>Input!$MF$11</f>
        <v>0</v>
      </c>
      <c r="L67" s="355">
        <f>Input!$MG$11</f>
        <v>0</v>
      </c>
      <c r="M67" s="357">
        <f t="shared" si="12"/>
        <v>0</v>
      </c>
      <c r="O67" s="316">
        <f t="shared" si="14"/>
        <v>0</v>
      </c>
      <c r="P67" s="317">
        <f>Input!$TM$11</f>
        <v>0</v>
      </c>
      <c r="Q67" s="317">
        <f>Input!$TW$11</f>
        <v>0</v>
      </c>
      <c r="R67" s="317">
        <f>Input!$UF$11</f>
        <v>0</v>
      </c>
      <c r="S67" s="321">
        <f t="shared" ref="S67:S72" si="16">O67+P67-Q67-R67</f>
        <v>0</v>
      </c>
      <c r="T67" s="320"/>
      <c r="U67" s="495">
        <f t="shared" si="15"/>
        <v>0</v>
      </c>
      <c r="V67" s="320"/>
      <c r="W67" s="314" t="s">
        <v>16</v>
      </c>
      <c r="X67" s="363">
        <f>Input!$UQ$11</f>
        <v>0</v>
      </c>
      <c r="Y67" s="319">
        <f t="shared" si="13"/>
        <v>0</v>
      </c>
      <c r="Z67" s="320"/>
      <c r="AA67" s="320"/>
      <c r="AB67" s="320"/>
    </row>
    <row r="68" spans="1:28" s="149" customFormat="1">
      <c r="A68" s="147">
        <v>51</v>
      </c>
      <c r="B68" s="161" t="s">
        <v>55</v>
      </c>
      <c r="C68" s="161"/>
      <c r="D68" s="355">
        <f>Input!$MH$11</f>
        <v>115951468</v>
      </c>
      <c r="E68" s="355">
        <f>Input!$MI$11</f>
        <v>29102036</v>
      </c>
      <c r="F68" s="355">
        <f>Input!$MJ$11</f>
        <v>0</v>
      </c>
      <c r="G68" s="355">
        <f>Input!$MK$11</f>
        <v>1778853</v>
      </c>
      <c r="H68" s="355">
        <f>Input!$ML$11</f>
        <v>0</v>
      </c>
      <c r="I68" s="355">
        <f>Input!$MM$11</f>
        <v>0</v>
      </c>
      <c r="J68" s="355">
        <f>Input!$MN$11</f>
        <v>0</v>
      </c>
      <c r="K68" s="355">
        <f>Input!$MO$11</f>
        <v>0</v>
      </c>
      <c r="L68" s="355">
        <f>Input!$MP$11</f>
        <v>0</v>
      </c>
      <c r="M68" s="357">
        <f t="shared" si="12"/>
        <v>146832357</v>
      </c>
      <c r="O68" s="316">
        <f t="shared" si="14"/>
        <v>146832357</v>
      </c>
      <c r="P68" s="317">
        <f>Input!$TN$11</f>
        <v>216155</v>
      </c>
      <c r="Q68" s="317">
        <f>Input!$TX$11</f>
        <v>0</v>
      </c>
      <c r="R68" s="317">
        <f>Input!$UG$11</f>
        <v>0</v>
      </c>
      <c r="S68" s="321">
        <f t="shared" si="16"/>
        <v>147048512</v>
      </c>
      <c r="T68" s="320"/>
      <c r="U68" s="495">
        <f t="shared" si="15"/>
        <v>146832357</v>
      </c>
      <c r="V68" s="320"/>
      <c r="W68" s="314" t="s">
        <v>55</v>
      </c>
      <c r="X68" s="363">
        <f>Input!$UR$11</f>
        <v>146832357</v>
      </c>
      <c r="Y68" s="319">
        <f t="shared" si="13"/>
        <v>0</v>
      </c>
      <c r="Z68" s="320"/>
      <c r="AA68" s="320"/>
      <c r="AB68" s="320"/>
    </row>
    <row r="69" spans="1:28" s="149" customFormat="1">
      <c r="A69" s="147">
        <v>52</v>
      </c>
      <c r="B69" s="161" t="s">
        <v>17</v>
      </c>
      <c r="C69" s="161"/>
      <c r="D69" s="355">
        <f>Input!$MQ$11</f>
        <v>1326228</v>
      </c>
      <c r="E69" s="355">
        <f>Input!$MR$11</f>
        <v>10467</v>
      </c>
      <c r="F69" s="355">
        <f>Input!$MS$11</f>
        <v>0</v>
      </c>
      <c r="G69" s="355">
        <f>Input!$MT$11</f>
        <v>52641</v>
      </c>
      <c r="H69" s="355">
        <f>Input!$MU$11</f>
        <v>0</v>
      </c>
      <c r="I69" s="355">
        <f>Input!$MV$11</f>
        <v>0</v>
      </c>
      <c r="J69" s="355">
        <f>Input!$MW$11</f>
        <v>0</v>
      </c>
      <c r="K69" s="355">
        <f>Input!$MX$11</f>
        <v>0</v>
      </c>
      <c r="L69" s="355">
        <f>Input!$MY$11</f>
        <v>0</v>
      </c>
      <c r="M69" s="357">
        <f t="shared" si="12"/>
        <v>1389336</v>
      </c>
      <c r="O69" s="316">
        <f t="shared" si="14"/>
        <v>1389336</v>
      </c>
      <c r="P69" s="317">
        <f>Input!$TO$11</f>
        <v>2295</v>
      </c>
      <c r="Q69" s="317">
        <f>Input!$TY$11</f>
        <v>0</v>
      </c>
      <c r="R69" s="317">
        <f>Input!$UH$11</f>
        <v>0</v>
      </c>
      <c r="S69" s="321">
        <f t="shared" si="16"/>
        <v>1391631</v>
      </c>
      <c r="T69" s="320"/>
      <c r="U69" s="495">
        <f t="shared" si="15"/>
        <v>1389336</v>
      </c>
      <c r="V69" s="320"/>
      <c r="W69" s="314" t="s">
        <v>17</v>
      </c>
      <c r="X69" s="363">
        <f>Input!$US$11</f>
        <v>1389336</v>
      </c>
      <c r="Y69" s="319">
        <f t="shared" si="13"/>
        <v>0</v>
      </c>
      <c r="Z69" s="320"/>
      <c r="AA69" s="320"/>
      <c r="AB69" s="320"/>
    </row>
    <row r="70" spans="1:28" s="149" customFormat="1">
      <c r="A70" s="147">
        <v>53</v>
      </c>
      <c r="B70" s="161" t="s">
        <v>18</v>
      </c>
      <c r="C70" s="161"/>
      <c r="D70" s="355">
        <f>Input!$MZ$11</f>
        <v>0</v>
      </c>
      <c r="E70" s="355">
        <f>Input!$NA$11</f>
        <v>0</v>
      </c>
      <c r="F70" s="355">
        <f>Input!$NB$11</f>
        <v>0</v>
      </c>
      <c r="G70" s="355">
        <f>Input!$NC$11</f>
        <v>0</v>
      </c>
      <c r="H70" s="355">
        <f>Input!$ND$11</f>
        <v>0</v>
      </c>
      <c r="I70" s="355">
        <f>Input!$NE$11</f>
        <v>0</v>
      </c>
      <c r="J70" s="355">
        <f>Input!$NF$11</f>
        <v>0</v>
      </c>
      <c r="K70" s="355">
        <f>Input!$NG$11</f>
        <v>0</v>
      </c>
      <c r="L70" s="355">
        <f>Input!$NH$11</f>
        <v>0</v>
      </c>
      <c r="M70" s="357">
        <f t="shared" si="12"/>
        <v>0</v>
      </c>
      <c r="O70" s="316">
        <f t="shared" si="14"/>
        <v>0</v>
      </c>
      <c r="P70" s="317">
        <f>Input!$TP$11</f>
        <v>0</v>
      </c>
      <c r="Q70" s="317">
        <f>Input!$TZ$11</f>
        <v>0</v>
      </c>
      <c r="R70" s="317">
        <f>Input!$UI$11</f>
        <v>0</v>
      </c>
      <c r="S70" s="321">
        <f t="shared" si="16"/>
        <v>0</v>
      </c>
      <c r="T70" s="320"/>
      <c r="U70" s="495">
        <f t="shared" si="15"/>
        <v>0</v>
      </c>
      <c r="V70" s="320"/>
      <c r="W70" s="314" t="s">
        <v>18</v>
      </c>
      <c r="X70" s="363">
        <f>Input!$UT$11</f>
        <v>0</v>
      </c>
      <c r="Y70" s="319">
        <f t="shared" si="13"/>
        <v>0</v>
      </c>
      <c r="Z70" s="320"/>
      <c r="AA70" s="320"/>
      <c r="AB70" s="320"/>
    </row>
    <row r="71" spans="1:28" s="149" customFormat="1">
      <c r="A71" s="147">
        <v>54</v>
      </c>
      <c r="B71" s="161" t="s">
        <v>19</v>
      </c>
      <c r="C71" s="161"/>
      <c r="D71" s="355">
        <f>Input!$NI$11</f>
        <v>18529345</v>
      </c>
      <c r="E71" s="355">
        <f>Input!$NJ$11</f>
        <v>1343622</v>
      </c>
      <c r="F71" s="355">
        <f>Input!$NK$11</f>
        <v>0</v>
      </c>
      <c r="G71" s="355">
        <f>Input!$NL$11</f>
        <v>100513</v>
      </c>
      <c r="H71" s="355">
        <f>Input!$NM$11</f>
        <v>0</v>
      </c>
      <c r="I71" s="355">
        <f>Input!$NN$11</f>
        <v>0</v>
      </c>
      <c r="J71" s="355">
        <f>Input!$NO$11</f>
        <v>0</v>
      </c>
      <c r="K71" s="355">
        <f>Input!$NP$11</f>
        <v>0</v>
      </c>
      <c r="L71" s="355">
        <f>Input!$NQ$11</f>
        <v>0</v>
      </c>
      <c r="M71" s="357">
        <f t="shared" si="12"/>
        <v>19973480</v>
      </c>
      <c r="O71" s="316">
        <f t="shared" si="14"/>
        <v>19973480</v>
      </c>
      <c r="P71" s="317">
        <f>Input!$TQ$11</f>
        <v>0</v>
      </c>
      <c r="Q71" s="317">
        <f>Input!$UA$11</f>
        <v>0</v>
      </c>
      <c r="R71" s="317">
        <f>Input!$UJ$11</f>
        <v>0</v>
      </c>
      <c r="S71" s="321">
        <f t="shared" si="16"/>
        <v>19973480</v>
      </c>
      <c r="T71" s="320"/>
      <c r="U71" s="495">
        <f t="shared" si="15"/>
        <v>19973480</v>
      </c>
      <c r="V71" s="320"/>
      <c r="W71" s="314" t="s">
        <v>19</v>
      </c>
      <c r="X71" s="363">
        <f>Input!$UU$11</f>
        <v>19973480</v>
      </c>
      <c r="Y71" s="319">
        <f t="shared" si="13"/>
        <v>0</v>
      </c>
      <c r="Z71" s="320"/>
      <c r="AA71" s="320"/>
      <c r="AB71" s="320"/>
    </row>
    <row r="72" spans="1:28" s="149" customFormat="1">
      <c r="A72" s="147">
        <v>55</v>
      </c>
      <c r="B72" s="161" t="s">
        <v>20</v>
      </c>
      <c r="C72" s="161"/>
      <c r="D72" s="355">
        <f>Input!$NR$11</f>
        <v>9231271</v>
      </c>
      <c r="E72" s="355">
        <f>Input!$NS$11</f>
        <v>0</v>
      </c>
      <c r="F72" s="355">
        <f>Input!$NT$11</f>
        <v>0</v>
      </c>
      <c r="G72" s="355">
        <f>Input!$NU$11</f>
        <v>0</v>
      </c>
      <c r="H72" s="355">
        <f>Input!$NV$11</f>
        <v>0</v>
      </c>
      <c r="I72" s="355">
        <f>Input!$NW$11</f>
        <v>0</v>
      </c>
      <c r="J72" s="355">
        <f>Input!$NX$11</f>
        <v>985526</v>
      </c>
      <c r="K72" s="355">
        <f>Input!$NY$11</f>
        <v>0</v>
      </c>
      <c r="L72" s="355">
        <f>Input!$NZ$11</f>
        <v>0</v>
      </c>
      <c r="M72" s="357">
        <f t="shared" si="12"/>
        <v>10216797</v>
      </c>
      <c r="O72" s="316">
        <f t="shared" si="14"/>
        <v>9231271</v>
      </c>
      <c r="P72" s="317">
        <f>Input!$TR$11</f>
        <v>0</v>
      </c>
      <c r="Q72" s="317">
        <f>Input!$UB$11</f>
        <v>0</v>
      </c>
      <c r="R72" s="317">
        <f>Input!$UK$11</f>
        <v>0</v>
      </c>
      <c r="S72" s="321">
        <f t="shared" si="16"/>
        <v>9231271</v>
      </c>
      <c r="T72" s="320"/>
      <c r="U72" s="495">
        <f t="shared" si="15"/>
        <v>10216797</v>
      </c>
      <c r="V72" s="320"/>
      <c r="W72" s="314" t="s">
        <v>184</v>
      </c>
      <c r="X72" s="363">
        <f>Input!$UV$11</f>
        <v>10216797</v>
      </c>
      <c r="Y72" s="319">
        <f t="shared" si="13"/>
        <v>0</v>
      </c>
      <c r="Z72" s="320"/>
      <c r="AA72" s="320"/>
      <c r="AB72" s="320"/>
    </row>
    <row r="73" spans="1:28" s="149" customFormat="1" ht="13.5" thickBot="1">
      <c r="A73" s="147">
        <v>56</v>
      </c>
      <c r="B73" s="161" t="s">
        <v>21</v>
      </c>
      <c r="C73" s="161"/>
      <c r="D73" s="355">
        <f>Input!$OA$11</f>
        <v>0</v>
      </c>
      <c r="E73" s="355">
        <f>Input!$OB$11</f>
        <v>0</v>
      </c>
      <c r="F73" s="355">
        <f>Input!$OC$11</f>
        <v>0</v>
      </c>
      <c r="G73" s="355">
        <f>Input!$OD$11</f>
        <v>35175</v>
      </c>
      <c r="H73" s="355">
        <f>Input!$OE$11</f>
        <v>0</v>
      </c>
      <c r="I73" s="355">
        <f>Input!$OF$11</f>
        <v>0</v>
      </c>
      <c r="J73" s="355">
        <f>Input!$OG$11</f>
        <v>0</v>
      </c>
      <c r="K73" s="355">
        <f>Input!$OH$11</f>
        <v>0</v>
      </c>
      <c r="L73" s="355">
        <f>Input!$OI$11</f>
        <v>0</v>
      </c>
      <c r="M73" s="357">
        <f t="shared" si="12"/>
        <v>35175</v>
      </c>
      <c r="O73" s="322">
        <f>D73+E73+G73</f>
        <v>35175</v>
      </c>
      <c r="P73" s="317">
        <f>Input!$TS$11</f>
        <v>0</v>
      </c>
      <c r="Q73" s="323">
        <f>Input!$UC$11</f>
        <v>0</v>
      </c>
      <c r="R73" s="323">
        <f>Input!$UL$11</f>
        <v>0</v>
      </c>
      <c r="S73" s="324">
        <f>O73+P73-Q73-R73</f>
        <v>35175</v>
      </c>
      <c r="T73" s="325"/>
      <c r="U73" s="495">
        <f t="shared" si="15"/>
        <v>35175</v>
      </c>
      <c r="V73" s="325"/>
      <c r="W73" s="314" t="s">
        <v>21</v>
      </c>
      <c r="X73" s="363">
        <f>Input!$UW$11</f>
        <v>35175</v>
      </c>
      <c r="Y73" s="319">
        <f t="shared" si="13"/>
        <v>0</v>
      </c>
      <c r="Z73" s="320"/>
      <c r="AA73" s="320"/>
      <c r="AB73" s="320"/>
    </row>
    <row r="74" spans="1:28" s="149" customFormat="1" ht="13.5" thickTop="1">
      <c r="A74" s="147">
        <v>57</v>
      </c>
      <c r="B74" s="161" t="s">
        <v>1363</v>
      </c>
      <c r="C74" s="161"/>
      <c r="D74" s="355">
        <f>Input!$OJ$11</f>
        <v>0</v>
      </c>
      <c r="E74" s="355">
        <f>Input!$OK$11</f>
        <v>0</v>
      </c>
      <c r="F74" s="355">
        <f>Input!$OL$11</f>
        <v>144548</v>
      </c>
      <c r="G74" s="355">
        <f>Input!$OM$11</f>
        <v>0</v>
      </c>
      <c r="H74" s="355">
        <f>Input!$ON$11</f>
        <v>0</v>
      </c>
      <c r="I74" s="355">
        <f>Input!$OO$11</f>
        <v>0</v>
      </c>
      <c r="J74" s="355">
        <f>Input!$OP$11</f>
        <v>0</v>
      </c>
      <c r="K74" s="355">
        <f>Input!$OQ$11</f>
        <v>0</v>
      </c>
      <c r="L74" s="355">
        <f>Input!$OR$11</f>
        <v>0</v>
      </c>
      <c r="M74" s="357">
        <f t="shared" si="12"/>
        <v>144548</v>
      </c>
      <c r="O74" s="326"/>
      <c r="P74" s="858">
        <f>Input!$TT$11</f>
        <v>0</v>
      </c>
      <c r="Q74" s="327"/>
      <c r="R74" s="328"/>
      <c r="S74" s="329">
        <f>SUM(S65:S73)</f>
        <v>211672794</v>
      </c>
      <c r="T74" s="328"/>
      <c r="U74" s="495">
        <f t="shared" si="15"/>
        <v>144548</v>
      </c>
      <c r="V74" s="328"/>
      <c r="W74" s="314" t="s">
        <v>22</v>
      </c>
      <c r="X74" s="363">
        <f>Input!$UX$11</f>
        <v>144548</v>
      </c>
      <c r="Y74" s="319">
        <f t="shared" si="13"/>
        <v>0</v>
      </c>
      <c r="Z74" s="320"/>
      <c r="AA74" s="320"/>
      <c r="AB74" s="320"/>
    </row>
    <row r="75" spans="1:28" s="149" customFormat="1">
      <c r="A75" s="147">
        <v>58</v>
      </c>
      <c r="B75" s="162" t="s">
        <v>62</v>
      </c>
      <c r="C75" s="162"/>
      <c r="D75" s="355">
        <f>Input!$OS$11</f>
        <v>924832</v>
      </c>
      <c r="E75" s="355">
        <f>Input!$OT$11</f>
        <v>68744</v>
      </c>
      <c r="F75" s="355">
        <f>Input!$OU$11</f>
        <v>0</v>
      </c>
      <c r="G75" s="355">
        <f>Input!$OV$11</f>
        <v>349948</v>
      </c>
      <c r="H75" s="355">
        <f>Input!$OW$11</f>
        <v>0</v>
      </c>
      <c r="I75" s="355">
        <f>Input!$OX$11</f>
        <v>0</v>
      </c>
      <c r="J75" s="355">
        <f>Input!$OY$11</f>
        <v>0</v>
      </c>
      <c r="K75" s="355">
        <f>Input!$OZ$11</f>
        <v>0</v>
      </c>
      <c r="L75" s="355">
        <f>Input!$PA$11</f>
        <v>0</v>
      </c>
      <c r="M75" s="357">
        <f t="shared" si="12"/>
        <v>1343524</v>
      </c>
      <c r="O75" s="326"/>
      <c r="P75" s="326">
        <f>SUM(P65:P74)</f>
        <v>1343524</v>
      </c>
      <c r="Q75" s="327" t="s">
        <v>185</v>
      </c>
      <c r="R75" s="328"/>
      <c r="S75" s="330"/>
      <c r="T75" s="328"/>
      <c r="U75" s="495">
        <f t="shared" si="15"/>
        <v>1343524</v>
      </c>
      <c r="V75" s="328"/>
      <c r="W75" s="314" t="s">
        <v>186</v>
      </c>
      <c r="X75" s="331">
        <f>M93*-1</f>
        <v>13966143</v>
      </c>
      <c r="Y75" s="319">
        <f>X75+M93</f>
        <v>0</v>
      </c>
      <c r="Z75" s="332"/>
      <c r="AA75" s="332"/>
      <c r="AB75" s="332"/>
    </row>
    <row r="76" spans="1:28" s="149" customFormat="1" ht="13.5" thickBot="1">
      <c r="A76" s="147">
        <v>59</v>
      </c>
      <c r="B76" s="163" t="s">
        <v>42</v>
      </c>
      <c r="C76" s="163"/>
      <c r="D76" s="359">
        <f>Input!$PB$11</f>
        <v>0</v>
      </c>
      <c r="E76" s="359">
        <f>Input!$PC$11</f>
        <v>0</v>
      </c>
      <c r="F76" s="359">
        <f>Input!$PD$11</f>
        <v>0</v>
      </c>
      <c r="G76" s="359">
        <f>Input!$PE$11</f>
        <v>0</v>
      </c>
      <c r="H76" s="359">
        <f>Input!$PF$11</f>
        <v>0</v>
      </c>
      <c r="I76" s="359">
        <f>Input!$PG$11</f>
        <v>0</v>
      </c>
      <c r="J76" s="359">
        <f>Input!$PH$11</f>
        <v>0</v>
      </c>
      <c r="K76" s="359">
        <f>Input!$PI$11</f>
        <v>0</v>
      </c>
      <c r="L76" s="359">
        <f>Input!$PJ$11</f>
        <v>0</v>
      </c>
      <c r="M76" s="357">
        <f t="shared" si="12"/>
        <v>0</v>
      </c>
      <c r="O76" s="326"/>
      <c r="P76" s="484" t="str">
        <f>IF(P75&lt;&gt;M75,"Out of Balance","Balanced")</f>
        <v>Balanced</v>
      </c>
      <c r="Q76" s="1322" t="s">
        <v>187</v>
      </c>
      <c r="R76" s="1323"/>
      <c r="S76" s="412">
        <f>Input!$UM$11</f>
        <v>221707202</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159199528</v>
      </c>
      <c r="E77" s="356">
        <f t="shared" si="17"/>
        <v>37972528</v>
      </c>
      <c r="F77" s="356">
        <f t="shared" si="17"/>
        <v>144548</v>
      </c>
      <c r="G77" s="356">
        <f t="shared" si="17"/>
        <v>14953525</v>
      </c>
      <c r="H77" s="356">
        <f t="shared" si="17"/>
        <v>0</v>
      </c>
      <c r="I77" s="356">
        <f t="shared" si="17"/>
        <v>0</v>
      </c>
      <c r="J77" s="356">
        <f t="shared" si="17"/>
        <v>985526</v>
      </c>
      <c r="K77" s="356">
        <f t="shared" si="17"/>
        <v>0</v>
      </c>
      <c r="L77" s="356">
        <f t="shared" si="17"/>
        <v>0</v>
      </c>
      <c r="M77" s="356">
        <f t="shared" si="12"/>
        <v>213255655</v>
      </c>
      <c r="O77" s="50"/>
      <c r="P77" s="326"/>
      <c r="Q77" s="334" t="s">
        <v>188</v>
      </c>
      <c r="R77" s="335"/>
      <c r="S77" s="413">
        <f>Input!$UN$11</f>
        <v>159221166</v>
      </c>
      <c r="T77" s="336"/>
      <c r="U77" s="497">
        <f>SUM(U65:U76)</f>
        <v>213255655</v>
      </c>
      <c r="V77" s="336"/>
      <c r="W77" s="336"/>
      <c r="X77" s="337">
        <f>SUM(X65:X76)</f>
        <v>225878274</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149186758</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Input!$PK$11</f>
        <v>0</v>
      </c>
      <c r="E80" s="355">
        <f>Input!$PL$11</f>
        <v>0</v>
      </c>
      <c r="F80" s="355">
        <f>Input!$PM$11</f>
        <v>0</v>
      </c>
      <c r="G80" s="355">
        <f>Input!$PN$11</f>
        <v>0</v>
      </c>
      <c r="H80" s="355">
        <f>Input!$PO$11</f>
        <v>0</v>
      </c>
      <c r="I80" s="355">
        <f>Input!$PP$11</f>
        <v>0</v>
      </c>
      <c r="J80" s="355">
        <f>Input!$PQ$11</f>
        <v>-31128291</v>
      </c>
      <c r="K80" s="355">
        <f>Input!$PR$11</f>
        <v>0</v>
      </c>
      <c r="L80" s="355">
        <f>Input!$PS$11</f>
        <v>0</v>
      </c>
      <c r="M80" s="357">
        <f>D80+E80+F80+G80+H80+I80+J80+K80+L80</f>
        <v>-31128291</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Input!$PT$11</f>
        <v>35860537</v>
      </c>
      <c r="E81" s="355">
        <f>Input!$PU$11</f>
        <v>-31386613</v>
      </c>
      <c r="F81" s="355">
        <f>Input!$PV$11</f>
        <v>0</v>
      </c>
      <c r="G81" s="355">
        <f>Input!$PW$11</f>
        <v>-1839108</v>
      </c>
      <c r="H81" s="355">
        <f>Input!$PX$11</f>
        <v>0</v>
      </c>
      <c r="I81" s="355">
        <f>Input!$PY$11</f>
        <v>24463</v>
      </c>
      <c r="J81" s="355">
        <f>Input!$PZ$11</f>
        <v>-2407360</v>
      </c>
      <c r="K81" s="355">
        <f>Input!$QA$11</f>
        <v>0</v>
      </c>
      <c r="L81" s="355">
        <f>Input!$QB$11</f>
        <v>-37535</v>
      </c>
      <c r="M81" s="357">
        <f>D81+E81+F81+G81+H81+I81+J81+K81+L81</f>
        <v>214384</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Input!$QC$11</f>
        <v>0</v>
      </c>
      <c r="E82" s="355">
        <f>Input!$QD$11</f>
        <v>0</v>
      </c>
      <c r="F82" s="355">
        <f>Input!$QE$11</f>
        <v>0</v>
      </c>
      <c r="G82" s="355">
        <f>Input!$QF$11</f>
        <v>0</v>
      </c>
      <c r="H82" s="355">
        <f>Input!$QG$11</f>
        <v>0</v>
      </c>
      <c r="I82" s="355">
        <f>Input!$QH$11</f>
        <v>0</v>
      </c>
      <c r="J82" s="355">
        <f>Input!$QI$11</f>
        <v>32034979</v>
      </c>
      <c r="K82" s="355">
        <f>Input!$QJ$11</f>
        <v>0</v>
      </c>
      <c r="L82" s="355">
        <f>Input!$QK$11</f>
        <v>0</v>
      </c>
      <c r="M82" s="357">
        <f>D82+E82+F82+G82+H82+I82+J82+K82+L82</f>
        <v>32034979</v>
      </c>
      <c r="O82" s="326"/>
      <c r="P82" s="1327" t="str">
        <f>IF(M91&lt;0,"Footnote 11 is N/A - No Data Entry Required","Footnote 11")</f>
        <v>Footnote 11 is N/A - No Data Entry Required</v>
      </c>
      <c r="Q82" s="1328"/>
      <c r="R82" s="1328"/>
      <c r="S82" s="1329"/>
      <c r="T82" s="343"/>
      <c r="U82" s="343"/>
      <c r="V82" s="305"/>
      <c r="W82" s="305"/>
      <c r="X82" s="305"/>
      <c r="Y82" s="305"/>
      <c r="Z82" s="305"/>
      <c r="AA82" s="305"/>
      <c r="AB82" s="305"/>
    </row>
    <row r="83" spans="1:28" s="149" customFormat="1" ht="13.5" thickTop="1">
      <c r="A83" s="147">
        <v>66</v>
      </c>
      <c r="B83" s="149" t="s">
        <v>43</v>
      </c>
      <c r="D83" s="355">
        <f>Input!$QL$11</f>
        <v>-6997201</v>
      </c>
      <c r="E83" s="355">
        <f>Input!$QM$11</f>
        <v>0</v>
      </c>
      <c r="F83" s="355">
        <f>Input!$QN$11</f>
        <v>0</v>
      </c>
      <c r="G83" s="355">
        <f>Input!$QO$11</f>
        <v>0</v>
      </c>
      <c r="H83" s="355">
        <f>Input!$QP$11</f>
        <v>0</v>
      </c>
      <c r="I83" s="355">
        <f>Input!$QQ$11</f>
        <v>0</v>
      </c>
      <c r="J83" s="355">
        <f>Input!$QR$11</f>
        <v>-703344</v>
      </c>
      <c r="K83" s="355">
        <f>Input!$QS$11</f>
        <v>0</v>
      </c>
      <c r="L83" s="355">
        <f>Input!$QT$11</f>
        <v>0</v>
      </c>
      <c r="M83" s="357">
        <f>D83+E83+F83+G83+H83+I83+J83+K83+L83</f>
        <v>-7700545</v>
      </c>
      <c r="O83" s="346"/>
      <c r="P83" s="458" t="s">
        <v>596</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28863336</v>
      </c>
      <c r="E84" s="356">
        <f t="shared" si="18"/>
        <v>-31386613</v>
      </c>
      <c r="F84" s="356">
        <f t="shared" si="18"/>
        <v>0</v>
      </c>
      <c r="G84" s="356">
        <f t="shared" si="18"/>
        <v>-1839108</v>
      </c>
      <c r="H84" s="356">
        <f t="shared" si="18"/>
        <v>0</v>
      </c>
      <c r="I84" s="356">
        <f t="shared" si="18"/>
        <v>24463</v>
      </c>
      <c r="J84" s="356">
        <f t="shared" si="18"/>
        <v>-2204016</v>
      </c>
      <c r="K84" s="356">
        <f t="shared" si="18"/>
        <v>0</v>
      </c>
      <c r="L84" s="356">
        <f t="shared" si="18"/>
        <v>-37535</v>
      </c>
      <c r="M84" s="356">
        <f>D84+E84+F84+G84+H84+I84+J84+K84+L84</f>
        <v>-6579473</v>
      </c>
      <c r="O84" s="346"/>
      <c r="P84" s="462" t="s">
        <v>597</v>
      </c>
      <c r="Q84" s="347"/>
      <c r="R84" s="347"/>
      <c r="S84" s="492">
        <f>Input!$UY$11</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Input!$QU$11</f>
        <v>16911</v>
      </c>
      <c r="E87" s="355">
        <f>Input!$QV$11</f>
        <v>-54945</v>
      </c>
      <c r="F87" s="355">
        <f>Input!$QW$11</f>
        <v>0</v>
      </c>
      <c r="G87" s="355">
        <f>Input!$QX$11</f>
        <v>13416</v>
      </c>
      <c r="H87" s="355">
        <f>Input!$QY$11</f>
        <v>0</v>
      </c>
      <c r="I87" s="355">
        <f>Input!$QZ$11</f>
        <v>2407484</v>
      </c>
      <c r="J87" s="355">
        <f>Input!$RA$11</f>
        <v>0</v>
      </c>
      <c r="K87" s="355">
        <f>Input!$RB$11</f>
        <v>0</v>
      </c>
      <c r="L87" s="355">
        <f>Input!$RC$11</f>
        <v>0</v>
      </c>
      <c r="M87" s="357">
        <f>D87+E87+F87+G87+H87+I87+J87+K87+L87</f>
        <v>2382866</v>
      </c>
      <c r="O87" s="51"/>
      <c r="P87" s="467" t="s">
        <v>599</v>
      </c>
      <c r="Q87" s="305"/>
      <c r="R87" s="347"/>
      <c r="S87" s="463">
        <f>Input!$UZ$11</f>
        <v>0</v>
      </c>
      <c r="T87" s="50"/>
      <c r="U87" s="50"/>
      <c r="V87" s="50"/>
      <c r="W87" s="305"/>
      <c r="X87" s="343"/>
      <c r="Y87" s="343"/>
      <c r="Z87" s="305"/>
      <c r="AA87" s="305"/>
      <c r="AB87" s="305"/>
    </row>
    <row r="88" spans="1:28" s="149" customFormat="1">
      <c r="A88" s="147">
        <v>71</v>
      </c>
      <c r="B88" s="149" t="s">
        <v>45</v>
      </c>
      <c r="D88" s="355">
        <f>Input!$RD$11</f>
        <v>0</v>
      </c>
      <c r="E88" s="355">
        <f>Input!$RE$11</f>
        <v>0</v>
      </c>
      <c r="F88" s="355">
        <f>Input!$RF$11</f>
        <v>0</v>
      </c>
      <c r="G88" s="355">
        <f>Input!$RG$11</f>
        <v>0</v>
      </c>
      <c r="H88" s="355">
        <f>Input!$RH$11</f>
        <v>0</v>
      </c>
      <c r="I88" s="355">
        <f>Input!$RI$11</f>
        <v>0</v>
      </c>
      <c r="J88" s="355">
        <f>Input!$RJ$11</f>
        <v>0</v>
      </c>
      <c r="K88" s="355">
        <f>Input!$RK$11</f>
        <v>0</v>
      </c>
      <c r="L88" s="355">
        <f>Input!$RL$11</f>
        <v>0</v>
      </c>
      <c r="M88" s="357">
        <f>D88+E88+F88+G88+H88+I88+J88+K88+L88</f>
        <v>0</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16911</v>
      </c>
      <c r="E89" s="356">
        <f t="shared" si="19"/>
        <v>-54945</v>
      </c>
      <c r="F89" s="356">
        <f t="shared" si="19"/>
        <v>0</v>
      </c>
      <c r="G89" s="356">
        <f t="shared" si="19"/>
        <v>13416</v>
      </c>
      <c r="H89" s="356">
        <f t="shared" si="19"/>
        <v>0</v>
      </c>
      <c r="I89" s="356">
        <f t="shared" si="19"/>
        <v>2407484</v>
      </c>
      <c r="J89" s="356">
        <f t="shared" si="19"/>
        <v>0</v>
      </c>
      <c r="K89" s="356">
        <f t="shared" si="19"/>
        <v>0</v>
      </c>
      <c r="L89" s="356">
        <f t="shared" si="19"/>
        <v>0</v>
      </c>
      <c r="M89" s="356">
        <f>D89+E89+F89+G89+H89+I89+J89+K89+L89</f>
        <v>2382866</v>
      </c>
      <c r="O89" s="51"/>
      <c r="P89" s="470" t="s">
        <v>601</v>
      </c>
      <c r="Q89" s="305"/>
      <c r="R89" s="305"/>
      <c r="S89" s="464" t="str">
        <f>IFERROR(S85-S87,"")</f>
        <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-3618937</v>
      </c>
      <c r="E91" s="356">
        <f t="shared" si="20"/>
        <v>-16044116</v>
      </c>
      <c r="F91" s="356">
        <f t="shared" si="20"/>
        <v>20288</v>
      </c>
      <c r="G91" s="356">
        <f t="shared" si="20"/>
        <v>317141</v>
      </c>
      <c r="H91" s="356">
        <f t="shared" si="20"/>
        <v>0</v>
      </c>
      <c r="I91" s="356">
        <f t="shared" si="20"/>
        <v>2431947</v>
      </c>
      <c r="J91" s="356">
        <f t="shared" si="20"/>
        <v>-2571901</v>
      </c>
      <c r="K91" s="356">
        <f t="shared" si="20"/>
        <v>0</v>
      </c>
      <c r="L91" s="356">
        <f>L63-L77+L84+L89</f>
        <v>-305058</v>
      </c>
      <c r="M91" s="356">
        <f>D91+E91+F91+G91+H91+I91+J91+K91+L91</f>
        <v>-19770636</v>
      </c>
      <c r="O91" s="51"/>
      <c r="P91" s="471" t="s">
        <v>602</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Input!$RM$11</f>
        <v>0</v>
      </c>
      <c r="E93" s="355">
        <f>Input!$RN$11</f>
        <v>0</v>
      </c>
      <c r="F93" s="355">
        <f>Input!$RO$11</f>
        <v>0</v>
      </c>
      <c r="G93" s="355">
        <f>Input!$RP$11</f>
        <v>0</v>
      </c>
      <c r="H93" s="355">
        <f>Input!$RQ$11</f>
        <v>0</v>
      </c>
      <c r="I93" s="355">
        <f>Input!$RR$11</f>
        <v>0</v>
      </c>
      <c r="J93" s="355">
        <f>Input!$RS$11</f>
        <v>0</v>
      </c>
      <c r="K93" s="355">
        <f>Input!$RT$11</f>
        <v>0</v>
      </c>
      <c r="L93" s="355">
        <f>Input!$RU$11</f>
        <v>-13966143</v>
      </c>
      <c r="M93" s="357">
        <f>D93+E93+F93+G93+H93+I93+J93+K93+L93</f>
        <v>-13966143</v>
      </c>
      <c r="O93" s="299"/>
      <c r="P93" s="50"/>
      <c r="Q93" s="50"/>
      <c r="R93" s="50"/>
      <c r="S93" s="50"/>
      <c r="T93" s="50"/>
      <c r="U93" s="50"/>
      <c r="V93" s="50"/>
      <c r="W93" s="50"/>
      <c r="X93" s="50"/>
      <c r="Y93" s="50"/>
      <c r="Z93" s="50"/>
      <c r="AA93" s="50"/>
      <c r="AB93" s="50"/>
    </row>
    <row r="94" spans="1:28" s="149" customFormat="1">
      <c r="A94" s="147">
        <v>78</v>
      </c>
      <c r="B94" s="51" t="s">
        <v>94</v>
      </c>
      <c r="C94" s="51"/>
      <c r="D94" s="355">
        <f>Input!$RV$11</f>
        <v>0</v>
      </c>
      <c r="E94" s="355">
        <f>Input!$RW$11</f>
        <v>0</v>
      </c>
      <c r="F94" s="355">
        <f>Input!$RX$11</f>
        <v>0</v>
      </c>
      <c r="G94" s="355">
        <f>Input!$RY$11</f>
        <v>0</v>
      </c>
      <c r="H94" s="355">
        <f>Input!$RZ$11</f>
        <v>0</v>
      </c>
      <c r="I94" s="355">
        <f>Input!$SA$11</f>
        <v>0</v>
      </c>
      <c r="J94" s="355">
        <f>Input!$SB$11</f>
        <v>0</v>
      </c>
      <c r="K94" s="355">
        <f>Input!$SC$11</f>
        <v>0</v>
      </c>
      <c r="L94" s="355">
        <f>Input!$SD$11</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Input!$SE$11</f>
        <v>0</v>
      </c>
      <c r="E95" s="355">
        <f>Input!$SF$11</f>
        <v>0</v>
      </c>
      <c r="F95" s="355">
        <f>Input!$SG$11</f>
        <v>0</v>
      </c>
      <c r="G95" s="355">
        <f>Input!$SH$11</f>
        <v>0</v>
      </c>
      <c r="H95" s="355">
        <f>Input!$SI$11</f>
        <v>0</v>
      </c>
      <c r="I95" s="355">
        <f>Input!$SJ$11</f>
        <v>0</v>
      </c>
      <c r="J95" s="355">
        <f>Input!$SK$11</f>
        <v>0</v>
      </c>
      <c r="K95" s="355">
        <f>Input!$SL$11</f>
        <v>0</v>
      </c>
      <c r="L95" s="355">
        <f>Input!$SM$11</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Input!$SN$11</f>
        <v>0</v>
      </c>
      <c r="E96" s="355">
        <f>Input!$SO$11</f>
        <v>0</v>
      </c>
      <c r="F96" s="355">
        <f>Input!$SP$11</f>
        <v>0</v>
      </c>
      <c r="G96" s="355">
        <f>Input!$SQ$11</f>
        <v>0</v>
      </c>
      <c r="H96" s="355">
        <f>Input!$SR$11</f>
        <v>0</v>
      </c>
      <c r="I96" s="355">
        <f>Input!$SS$11</f>
        <v>0</v>
      </c>
      <c r="J96" s="355">
        <f>Input!$ST$11</f>
        <v>0</v>
      </c>
      <c r="K96" s="355">
        <f>Input!$SU$11</f>
        <v>0</v>
      </c>
      <c r="L96" s="355">
        <f>Input!$SV$11</f>
        <v>31</v>
      </c>
      <c r="M96" s="357">
        <f>D96+E96+F96+G96+H96+I96+J96+K96+L96</f>
        <v>31</v>
      </c>
      <c r="O96" s="348"/>
      <c r="P96" s="50"/>
      <c r="Q96" s="50"/>
      <c r="R96" s="50"/>
      <c r="S96" s="50"/>
      <c r="T96" s="157"/>
      <c r="U96" s="157"/>
      <c r="V96" s="157"/>
      <c r="W96" s="157"/>
      <c r="X96" s="157"/>
      <c r="Y96" s="50"/>
      <c r="Z96" s="50"/>
      <c r="AA96" s="50"/>
      <c r="AB96" s="50"/>
    </row>
    <row r="97" spans="1:28" s="149" customFormat="1">
      <c r="A97" s="147">
        <v>79</v>
      </c>
      <c r="B97" s="51" t="s">
        <v>70</v>
      </c>
      <c r="C97" s="51"/>
      <c r="D97" s="355">
        <f>Input!$SW$11</f>
        <v>0</v>
      </c>
      <c r="E97" s="355">
        <f>Input!$SX$11</f>
        <v>0</v>
      </c>
      <c r="F97" s="355">
        <f>Input!$SY$11</f>
        <v>0</v>
      </c>
      <c r="G97" s="355">
        <f>Input!$SZ$11</f>
        <v>0</v>
      </c>
      <c r="H97" s="355">
        <f>Input!$TA$11</f>
        <v>0</v>
      </c>
      <c r="I97" s="355">
        <f>Input!$TB$11</f>
        <v>0</v>
      </c>
      <c r="J97" s="355">
        <f>Input!$TC$11</f>
        <v>0</v>
      </c>
      <c r="K97" s="355">
        <f>Input!$TD$11</f>
        <v>0</v>
      </c>
      <c r="L97" s="355">
        <f>Input!$TE$11</f>
        <v>32471815</v>
      </c>
      <c r="M97" s="357">
        <f>D97+E97+F97+G97+H97+I97+J97+K97+L97</f>
        <v>32471815</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-3618937</v>
      </c>
      <c r="E98" s="360">
        <f t="shared" si="21"/>
        <v>-16044116</v>
      </c>
      <c r="F98" s="360">
        <f t="shared" si="21"/>
        <v>20288</v>
      </c>
      <c r="G98" s="360">
        <f t="shared" si="21"/>
        <v>317141</v>
      </c>
      <c r="H98" s="360">
        <f t="shared" si="21"/>
        <v>0</v>
      </c>
      <c r="I98" s="360">
        <f t="shared" si="21"/>
        <v>2431947</v>
      </c>
      <c r="J98" s="360">
        <f t="shared" si="21"/>
        <v>-2571901</v>
      </c>
      <c r="K98" s="360">
        <f t="shared" si="21"/>
        <v>0</v>
      </c>
      <c r="L98" s="360">
        <f t="shared" si="21"/>
        <v>18200645</v>
      </c>
      <c r="M98" s="360">
        <f>SUM(M91:M97)</f>
        <v>-1264933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Input!$VC$11</f>
        <v>Natalie Harms</v>
      </c>
      <c r="Q103" s="1334"/>
      <c r="R103" s="1333" t="str">
        <f>Input!$VD$11</f>
        <v>(903) 877-7855</v>
      </c>
      <c r="S103" s="1334"/>
      <c r="T103" s="305"/>
      <c r="U103" s="1335" t="str">
        <f>HYPERLINK("Mailto:"&amp;Input!$VE$11,Input!$VE$11)</f>
        <v>natalie.harms@uthct.edu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Input!$TF$11</f>
        <v>-1264933</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IF($L$123&lt;&gt;Input!$F$11,"Out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314672879</v>
      </c>
      <c r="E110" s="357">
        <f>SUM($E$10:$E$14)+SUM($E$19:$E$28)+SUM($E$50)+$E$53+SUM($E$56:$E$61)+SUM($E$65:$E$76)+SUM($E$80:$E$83)+SUM($E$87:$E$88)+SUM($E$93:$E$97)+SUM($E$32:$E$41)+$E$47</f>
        <v>59900940</v>
      </c>
      <c r="F110" s="357">
        <f>SUM($F$10:$F$14)+SUM($F$19:$F$28)+SUM($F$50)+$F$53+SUM($F$56:$F$61)+SUM($F$65:$F$76)+SUM($F$80:$F$83)+SUM($F$87:$F$88)+SUM($F$93:$F$97)+SUM($F$32:$F$41)+$F$47</f>
        <v>309384</v>
      </c>
      <c r="G110" s="357">
        <f>SUM($G$10:$G$14)+SUM($G$19:$G$28)+SUM($G$50)+$G$53+SUM($G$56:$G$61)+SUM($G$65:$G$76)+SUM($G$80:$G$83)+SUM($G$87:$G$88)+SUM($G$93:$G$97)+SUM($G$32:$G$41)+$G$47</f>
        <v>30224191</v>
      </c>
      <c r="H110" s="357">
        <f>SUM($H$10:$H$14)+SUM($H$19:$H$28)+SUM($H$50)+$H$53+SUM($H$56:$H$61)+SUM($H$65:$H$76)+SUM($H$80:$H$83)+SUM($H$87:$H$88)+SUM($H$93:$H$97)+SUM($H$32:$H$41)+$H$47</f>
        <v>0</v>
      </c>
      <c r="I110" s="357">
        <f>SUM($I$10:$I$14)+SUM($I$19:$I$28)+SUM($I$50)+$I$53+SUM($I$56:$I$61)+SUM($I$65:$I$76)+SUM($I$80:$I$83)+SUM($I$87:$I$88)+SUM($I$93:$I$97)+SUM($I$32:$I$41)+$I$47</f>
        <v>2431947</v>
      </c>
      <c r="J110" s="357">
        <f>SUM($J$10:$J$14)+SUM($J$19:$J$28)+SUM($J$50)+$J$53+SUM($J$56:$J$61)+SUM($J$65:$J$76)+SUM($J$80:$J$83)+SUM($J$87:$J$88)+SUM($J$93:$J$97)+SUM($J$32:$J$41)+$J$47</f>
        <v>-600849</v>
      </c>
      <c r="K110" s="357">
        <f>SUM($K$10:$K$14)+SUM($K$19:$K$28)+SUM($K$50)+$K$53+SUM($K$56:$K$61)+SUM($K$65:$K$76)+SUM($K$80:$K$83)+SUM($K$87:$K$88)+SUM($K$93:$K$97)+SUM($K$32:$K$41)+$K$47</f>
        <v>0</v>
      </c>
      <c r="L110" s="357">
        <f>SUM($L$10:$L$14)+SUM($L$19:$L$28)+SUM($L$50)+$L$53+SUM($L$56:$L$61)+SUM($L$65:$L$76)+SUM($L$80:$L$83)+SUM($L$87:$L$88)+SUM($L$93:$L$97)+SUM($L$32:$L$41)+$L$47</f>
        <v>18200645</v>
      </c>
      <c r="M110" s="51"/>
      <c r="O110" s="51"/>
    </row>
    <row r="111" spans="1:28" s="50" customFormat="1">
      <c r="A111" s="293"/>
      <c r="B111" s="51"/>
      <c r="C111" s="51"/>
      <c r="D111" s="51"/>
      <c r="E111" s="51"/>
      <c r="F111" s="51"/>
      <c r="G111" s="51"/>
      <c r="H111" s="51"/>
      <c r="I111" s="51"/>
      <c r="J111" s="51"/>
      <c r="K111" s="51"/>
      <c r="L111" s="357">
        <f>SUM($D$110:$L$110)</f>
        <v>425139137</v>
      </c>
      <c r="M111" s="51"/>
      <c r="O111" s="51"/>
    </row>
    <row r="112" spans="1:28" s="50" customFormat="1">
      <c r="A112" s="293"/>
      <c r="B112" s="51"/>
      <c r="C112" s="51"/>
      <c r="D112" s="51"/>
      <c r="E112" s="51"/>
      <c r="F112" s="51"/>
      <c r="G112" s="51"/>
      <c r="H112" s="51"/>
      <c r="I112" s="51"/>
      <c r="J112" s="51" t="s">
        <v>1249</v>
      </c>
      <c r="K112" s="51"/>
      <c r="L112" s="357">
        <f>$M$105</f>
        <v>-1264933</v>
      </c>
      <c r="M112" s="51"/>
      <c r="O112" s="51"/>
    </row>
    <row r="113" spans="1:15" s="50" customFormat="1">
      <c r="A113" s="293"/>
      <c r="B113" s="51"/>
      <c r="C113" s="51"/>
      <c r="D113" s="51"/>
      <c r="E113" s="51"/>
      <c r="F113" s="51"/>
      <c r="G113" s="51"/>
      <c r="H113" s="51"/>
      <c r="I113" s="51"/>
      <c r="J113" s="51" t="s">
        <v>1250</v>
      </c>
      <c r="K113" s="51"/>
      <c r="L113" s="143">
        <f>$Q$32</f>
        <v>182967</v>
      </c>
      <c r="M113" s="51"/>
      <c r="O113" s="51"/>
    </row>
    <row r="114" spans="1:15" s="50" customFormat="1">
      <c r="A114" s="293"/>
      <c r="B114" s="51"/>
      <c r="C114" s="51"/>
      <c r="D114" s="51"/>
      <c r="E114" s="51"/>
      <c r="F114" s="51"/>
      <c r="G114" s="51"/>
      <c r="H114" s="51"/>
      <c r="I114" s="51"/>
      <c r="J114" s="51" t="s">
        <v>1250</v>
      </c>
      <c r="K114" s="51"/>
      <c r="L114" s="143">
        <f>$R$34</f>
        <v>0</v>
      </c>
      <c r="M114" s="51"/>
      <c r="O114" s="51"/>
    </row>
    <row r="115" spans="1:15" s="50" customFormat="1">
      <c r="A115" s="293"/>
      <c r="B115" s="51"/>
      <c r="C115" s="51"/>
      <c r="D115" s="51"/>
      <c r="E115" s="51"/>
      <c r="F115" s="51"/>
      <c r="G115" s="51"/>
      <c r="H115" s="51"/>
      <c r="I115" s="51"/>
      <c r="J115" s="51" t="s">
        <v>27</v>
      </c>
      <c r="K115" s="51"/>
      <c r="L115" s="143">
        <f>SUM($P$65:$P$74)</f>
        <v>1343524</v>
      </c>
      <c r="M115" s="51"/>
      <c r="O115" s="51"/>
    </row>
    <row r="116" spans="1:15" s="50" customFormat="1">
      <c r="A116" s="293"/>
      <c r="B116" s="51"/>
      <c r="C116" s="51"/>
      <c r="D116" s="51"/>
      <c r="E116" s="51"/>
      <c r="F116" s="51"/>
      <c r="G116" s="51"/>
      <c r="H116" s="51"/>
      <c r="I116" s="51"/>
      <c r="J116" s="51" t="s">
        <v>1009</v>
      </c>
      <c r="K116" s="51"/>
      <c r="L116" s="143">
        <f>$S$76+$S$77</f>
        <v>380928368</v>
      </c>
      <c r="M116" s="51"/>
      <c r="O116" s="51"/>
    </row>
    <row r="117" spans="1:15" s="50" customFormat="1">
      <c r="A117" s="293"/>
      <c r="B117" s="51"/>
      <c r="C117" s="51"/>
      <c r="D117" s="51"/>
      <c r="E117" s="51"/>
      <c r="F117" s="51"/>
      <c r="G117" s="51"/>
      <c r="H117" s="51"/>
      <c r="I117" s="51"/>
      <c r="J117" s="51" t="s">
        <v>607</v>
      </c>
      <c r="K117" s="51"/>
      <c r="L117" s="143">
        <f>SUM($Q$65:$Q$73)</f>
        <v>452787</v>
      </c>
      <c r="M117" s="51"/>
      <c r="O117" s="51"/>
    </row>
    <row r="118" spans="1:15" s="50" customFormat="1">
      <c r="A118" s="293"/>
      <c r="B118" s="51"/>
      <c r="C118" s="51"/>
      <c r="D118" s="51"/>
      <c r="E118" s="51"/>
      <c r="F118" s="51"/>
      <c r="G118" s="51"/>
      <c r="H118" s="51"/>
      <c r="I118" s="51"/>
      <c r="J118" s="51" t="s">
        <v>608</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211912131</v>
      </c>
      <c r="M119" s="51"/>
      <c r="O119" s="51"/>
    </row>
    <row r="120" spans="1:15" s="50" customFormat="1">
      <c r="A120" s="293"/>
      <c r="B120" s="51"/>
      <c r="C120" s="51"/>
      <c r="D120" s="51"/>
      <c r="E120" s="51"/>
      <c r="F120" s="51"/>
      <c r="G120" s="51"/>
      <c r="H120" s="51"/>
      <c r="I120" s="51"/>
      <c r="J120" s="51" t="s">
        <v>609</v>
      </c>
      <c r="K120" s="51"/>
      <c r="L120" s="143">
        <f>$S$84</f>
        <v>0</v>
      </c>
      <c r="M120" s="51"/>
      <c r="O120" s="51"/>
    </row>
    <row r="121" spans="1:15" s="50" customFormat="1">
      <c r="A121" s="293"/>
      <c r="B121" s="51"/>
      <c r="C121" s="51"/>
      <c r="D121" s="51"/>
      <c r="E121" s="51"/>
      <c r="F121" s="51"/>
      <c r="G121" s="51"/>
      <c r="H121" s="51"/>
      <c r="I121" s="51"/>
      <c r="J121" s="51" t="s">
        <v>609</v>
      </c>
      <c r="K121" s="51"/>
      <c r="L121" s="143">
        <f>$S$87</f>
        <v>0</v>
      </c>
      <c r="M121" s="51"/>
      <c r="O121" s="51"/>
    </row>
    <row r="122" spans="1:15" s="50" customFormat="1">
      <c r="A122" s="293"/>
      <c r="B122" s="51"/>
      <c r="C122" s="51"/>
      <c r="D122" s="51"/>
      <c r="E122" s="51"/>
      <c r="F122" s="51"/>
      <c r="G122" s="51"/>
      <c r="H122" s="51"/>
      <c r="I122" s="51"/>
      <c r="J122" s="51" t="s">
        <v>1255</v>
      </c>
      <c r="K122" s="51"/>
      <c r="L122" s="935">
        <f>VLOOKUP(B2,Names!$B$10:$C$88,2,FALSE)</f>
        <v>42439</v>
      </c>
      <c r="M122" s="51"/>
      <c r="O122" s="51"/>
    </row>
    <row r="123" spans="1:15">
      <c r="L123" s="486">
        <f>SUM($L$111:$L$122)</f>
        <v>1018736420</v>
      </c>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360" priority="56" stopIfTrue="1" operator="notEqual">
      <formula>#REF!</formula>
    </cfRule>
  </conditionalFormatting>
  <conditionalFormatting sqref="M77">
    <cfRule type="cellIs" dxfId="359" priority="55" stopIfTrue="1" operator="notEqual">
      <formula>SUM($M$65:$M$76)</formula>
    </cfRule>
  </conditionalFormatting>
  <conditionalFormatting sqref="M89">
    <cfRule type="cellIs" dxfId="358" priority="54" stopIfTrue="1" operator="notEqual">
      <formula>SUM($M$87:$M$88)</formula>
    </cfRule>
  </conditionalFormatting>
  <conditionalFormatting sqref="M84">
    <cfRule type="cellIs" dxfId="357" priority="53" stopIfTrue="1" operator="notEqual">
      <formula>SUM($M$80:$M$83)</formula>
    </cfRule>
  </conditionalFormatting>
  <conditionalFormatting sqref="M62">
    <cfRule type="cellIs" dxfId="356" priority="49" stopIfTrue="1" operator="notEqual">
      <formula>SUM($M$56:$M$61)</formula>
    </cfRule>
  </conditionalFormatting>
  <conditionalFormatting sqref="M15">
    <cfRule type="cellIs" dxfId="355" priority="48" stopIfTrue="1" operator="notEqual">
      <formula>SUM($M$10:$M$14)</formula>
    </cfRule>
  </conditionalFormatting>
  <conditionalFormatting sqref="R99:S102 X95:AB102 U93:W100 T95:T102 O93:O100 D98:L98 P94:P101 Q93:Q100 S95:S98 R95:R97">
    <cfRule type="cellIs" dxfId="354" priority="47" stopIfTrue="1" operator="notEqual">
      <formula>#REF!</formula>
    </cfRule>
  </conditionalFormatting>
  <conditionalFormatting sqref="G64:K64">
    <cfRule type="expression" dxfId="353" priority="40">
      <formula>$R$98&lt;&gt;0</formula>
    </cfRule>
  </conditionalFormatting>
  <conditionalFormatting sqref="O11:P11">
    <cfRule type="expression" dxfId="352" priority="39">
      <formula>#REF!&lt;&gt;$N$11</formula>
    </cfRule>
  </conditionalFormatting>
  <conditionalFormatting sqref="O13">
    <cfRule type="expression" dxfId="351" priority="38">
      <formula>$Q$13&lt;&gt;$N$13</formula>
    </cfRule>
  </conditionalFormatting>
  <conditionalFormatting sqref="O12">
    <cfRule type="expression" dxfId="350" priority="37">
      <formula>$Q$12&lt;&gt;$N$12</formula>
    </cfRule>
  </conditionalFormatting>
  <conditionalFormatting sqref="S91">
    <cfRule type="expression" priority="35" stopIfTrue="1">
      <formula>$N$91&lt;0</formula>
    </cfRule>
    <cfRule type="expression" dxfId="349" priority="36">
      <formula>$T$91&lt;&gt;0</formula>
    </cfRule>
  </conditionalFormatting>
  <conditionalFormatting sqref="S84 S87">
    <cfRule type="expression" dxfId="348" priority="33" stopIfTrue="1">
      <formula>$M$91&gt;=0</formula>
    </cfRule>
    <cfRule type="expression" priority="34">
      <formula>$M$91&lt;0</formula>
    </cfRule>
  </conditionalFormatting>
  <conditionalFormatting sqref="U100:V100 R102 U101 P100:P101 Q100:R100 S100:T102 S105:U106">
    <cfRule type="cellIs" dxfId="347" priority="32" stopIfTrue="1" operator="notEqual">
      <formula>#REF!</formula>
    </cfRule>
  </conditionalFormatting>
  <conditionalFormatting sqref="P76">
    <cfRule type="expression" dxfId="346" priority="30">
      <formula>$P$75&lt;&gt;$M$75</formula>
    </cfRule>
  </conditionalFormatting>
  <conditionalFormatting sqref="Y78">
    <cfRule type="expression" dxfId="345" priority="29">
      <formula>$Y$77&lt;&gt;0</formula>
    </cfRule>
  </conditionalFormatting>
  <conditionalFormatting sqref="Q36">
    <cfRule type="expression" dxfId="344" priority="25">
      <formula>#REF!&lt;&gt;#REF!</formula>
    </cfRule>
  </conditionalFormatting>
  <conditionalFormatting sqref="R35">
    <cfRule type="expression" dxfId="343" priority="24">
      <formula>#REF!&lt;&gt;0</formula>
    </cfRule>
  </conditionalFormatting>
  <conditionalFormatting sqref="Q35">
    <cfRule type="expression" dxfId="342" priority="23">
      <formula>#REF!&lt;&gt;0</formula>
    </cfRule>
  </conditionalFormatting>
  <conditionalFormatting sqref="R36">
    <cfRule type="expression" dxfId="341" priority="22">
      <formula>#REF!&lt;&gt;#REF!</formula>
    </cfRule>
  </conditionalFormatting>
  <conditionalFormatting sqref="D99:M99 D98:L98">
    <cfRule type="cellIs" dxfId="340" priority="21" stopIfTrue="1" operator="notEqual">
      <formula>#REF!</formula>
    </cfRule>
  </conditionalFormatting>
  <conditionalFormatting sqref="M77">
    <cfRule type="cellIs" dxfId="339" priority="20" stopIfTrue="1" operator="notEqual">
      <formula>SUM($M$65:$M$76)</formula>
    </cfRule>
  </conditionalFormatting>
  <conditionalFormatting sqref="M89">
    <cfRule type="cellIs" dxfId="338" priority="19" stopIfTrue="1" operator="notEqual">
      <formula>SUM($M$87:$M$88)</formula>
    </cfRule>
  </conditionalFormatting>
  <conditionalFormatting sqref="M84">
    <cfRule type="cellIs" dxfId="337" priority="18" stopIfTrue="1" operator="notEqual">
      <formula>SUM($M$80:$M$83)</formula>
    </cfRule>
  </conditionalFormatting>
  <conditionalFormatting sqref="M62">
    <cfRule type="cellIs" dxfId="336" priority="17" stopIfTrue="1" operator="notEqual">
      <formula>SUM($M$56:$M$61)</formula>
    </cfRule>
  </conditionalFormatting>
  <conditionalFormatting sqref="M15">
    <cfRule type="cellIs" dxfId="335" priority="16" stopIfTrue="1" operator="notEqual">
      <formula>SUM($M$10:$M$14)</formula>
    </cfRule>
  </conditionalFormatting>
  <conditionalFormatting sqref="D98:L98">
    <cfRule type="cellIs" dxfId="334" priority="15" stopIfTrue="1" operator="notEqual">
      <formula>#REF!</formula>
    </cfRule>
  </conditionalFormatting>
  <conditionalFormatting sqref="G64:K64">
    <cfRule type="expression" dxfId="333" priority="14">
      <formula>$R$98&lt;&gt;0</formula>
    </cfRule>
  </conditionalFormatting>
  <conditionalFormatting sqref="O11:P11">
    <cfRule type="expression" dxfId="332" priority="13">
      <formula>#REF!&lt;&gt;$N$11</formula>
    </cfRule>
  </conditionalFormatting>
  <conditionalFormatting sqref="O13">
    <cfRule type="expression" dxfId="331" priority="12">
      <formula>$Q$13&lt;&gt;$N$13</formula>
    </cfRule>
  </conditionalFormatting>
  <conditionalFormatting sqref="O12">
    <cfRule type="expression" dxfId="330" priority="11">
      <formula>$Q$12&lt;&gt;$N$12</formula>
    </cfRule>
  </conditionalFormatting>
  <conditionalFormatting sqref="S91">
    <cfRule type="expression" priority="9" stopIfTrue="1">
      <formula>$N$91&lt;0</formula>
    </cfRule>
    <cfRule type="expression" dxfId="329" priority="10">
      <formula>$T$91&lt;&gt;0</formula>
    </cfRule>
  </conditionalFormatting>
  <conditionalFormatting sqref="S84 S87">
    <cfRule type="expression" dxfId="328" priority="7" stopIfTrue="1">
      <formula>$M$91&gt;=0</formula>
    </cfRule>
    <cfRule type="expression" priority="8">
      <formula>$M$91&lt;0</formula>
    </cfRule>
  </conditionalFormatting>
  <conditionalFormatting sqref="U100:V100 R102 U101 P100:P101 Q100:R100 S100:T102 S105:U106">
    <cfRule type="cellIs" dxfId="327" priority="6" stopIfTrue="1" operator="notEqual">
      <formula>#REF!</formula>
    </cfRule>
  </conditionalFormatting>
  <conditionalFormatting sqref="P76">
    <cfRule type="expression" dxfId="326" priority="5">
      <formula>$P$75&lt;&gt;$M$75</formula>
    </cfRule>
  </conditionalFormatting>
  <conditionalFormatting sqref="Y78">
    <cfRule type="expression" dxfId="325" priority="4">
      <formula>$Y$77&lt;&gt;0</formula>
    </cfRule>
  </conditionalFormatting>
  <conditionalFormatting sqref="Q36:R36">
    <cfRule type="expression" dxfId="324" priority="3">
      <formula>#REF!&lt;&gt;#REF!</formula>
    </cfRule>
  </conditionalFormatting>
  <conditionalFormatting sqref="R35">
    <cfRule type="expression" dxfId="323" priority="2">
      <formula>#REF!&lt;&gt;0</formula>
    </cfRule>
  </conditionalFormatting>
  <conditionalFormatting sqref="Q35">
    <cfRule type="expression" dxfId="322"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3.140625" style="53" customWidth="1"/>
    <col min="11" max="16384" width="9.140625" style="53"/>
  </cols>
  <sheetData>
    <row r="1" spans="1:7">
      <c r="B1" s="386" t="str">
        <f>'THC Chts'!$A$1</f>
        <v>The University of Texas Health Science Center at Tyler</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IF('THC FGD'!$S$83="N/A","FN11.  N/A",$B$14&amp;$B$15&amp;$B$16&amp;$B$17&amp;$B$18&amp;$B$19&amp;$B$20&amp;$B$21&amp;$B$22&amp;$B$23&amp;$B$24)</f>
        <v>FN11.  N/A</v>
      </c>
      <c r="E9" s="488"/>
      <c r="F9" s="54"/>
    </row>
    <row r="14" spans="1:7">
      <c r="B14" s="54" t="s">
        <v>610</v>
      </c>
      <c r="G14" s="54"/>
    </row>
    <row r="15" spans="1:7">
      <c r="A15" s="53">
        <v>75</v>
      </c>
      <c r="B15" s="488" t="str">
        <f>TEXT(IF('THC FGD'!$M$91&lt;0,"N/A",'THC FGD'!$M$91),"$* #,##0;$* (#,##0)")</f>
        <v>N/A</v>
      </c>
      <c r="C15" s="453"/>
      <c r="F15" s="453"/>
      <c r="G15" s="54"/>
    </row>
    <row r="16" spans="1:7">
      <c r="B16" s="54" t="s">
        <v>611</v>
      </c>
    </row>
    <row r="17" spans="1:6">
      <c r="A17" s="53">
        <v>68</v>
      </c>
      <c r="B17" s="489" t="str">
        <f>IF(ABS('THC FGD'!$S$84)&gt;=1000000,TEXT('THC FGD'!$S$84/1000000,"$* #,##0.0;$* (#,##0.0)")&amp;" million",IF(ABS('THC FGD'!$S$84)&lt;1000,TEXT('THC FGD'!$S$84,"$* #,##0;$* (#,##0)"),TEXT('THC FGD'!$S$84/1000,"$* #,##0;$* (#,##0)")&amp;" thousand"))</f>
        <v>$0</v>
      </c>
      <c r="C17" s="489"/>
      <c r="F17" s="489"/>
    </row>
    <row r="18" spans="1:6">
      <c r="B18" s="54" t="s">
        <v>627</v>
      </c>
    </row>
    <row r="19" spans="1:6">
      <c r="A19" s="53">
        <v>69</v>
      </c>
      <c r="B19" s="53" t="e">
        <f>IF(ABS('THC FGD'!$S$85)&gt;=1000000,TEXT('THC FGD'!$S$85/1000000,"$* #,##0.0;$* (#,##0.0)")&amp;" million",IF(ABS('THC FGD'!$S$85)&lt;1000,TEXT('THC FGD'!$S$85,"$* #,##0;$* (#,##0)"),TEXT('THC FGD'!$S$85/1000,"$* #,##0;$* (#,##0)")&amp;" thousand"))</f>
        <v>#VALUE!</v>
      </c>
    </row>
    <row r="20" spans="1:6">
      <c r="B20" s="54" t="s">
        <v>612</v>
      </c>
    </row>
    <row r="21" spans="1:6">
      <c r="A21" s="53">
        <v>71</v>
      </c>
      <c r="B21" s="53" t="str">
        <f>IF(ABS('THC FGD'!$S$87)&gt;=1000000,TEXT('THC FGD'!$S$87/1000000,"$* #,##0.0;$* (#,##0.0)")&amp;" million",IF(ABS('THC FGD'!$S$87)&lt;1000,TEXT('THC FGD'!$S$87,"$* #,##0;$* (#,##0)"),TEXT('THC FGD'!$S$87/1000,"$* #,##0;$* (#,##0)")&amp;" thousand"))</f>
        <v>$0</v>
      </c>
    </row>
    <row r="22" spans="1:6">
      <c r="B22" s="54" t="s">
        <v>613</v>
      </c>
    </row>
    <row r="23" spans="1:6">
      <c r="A23" s="53">
        <v>73</v>
      </c>
      <c r="B23" s="53" t="e">
        <f>IF(ABS('THC FGD'!$S$89)&gt;=1000000,TEXT('THC FGD'!$S$89/1000000,"$* #,##0.0;$* (#,##0.0)")&amp;" million",IF(ABS('THC FGD'!$S$89)&lt;1000,TEXT('THC FGD'!$S$89,"$* #,##0;$* (#,##0)"),TEXT('THC FGD'!$S$89/1000,"$* #,##0;$* (#,##0)")&amp;" thousand"))</f>
        <v>#VALUE!</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140625" style="53" customWidth="1"/>
    <col min="3" max="3" width="55" style="53" customWidth="1"/>
    <col min="4" max="4" width="20.140625" style="53" customWidth="1"/>
    <col min="5" max="16384" width="9.140625" style="53"/>
  </cols>
  <sheetData>
    <row r="1" spans="1:5" ht="27.75" customHeight="1">
      <c r="A1" s="146" t="s">
        <v>102</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'TAMHSC Sum'!A9</f>
        <v>State of Texas</v>
      </c>
      <c r="D11" s="61">
        <f>'TAMHSC Sum'!B15</f>
        <v>185992441</v>
      </c>
      <c r="E11" s="673">
        <f>ROUND(D11/$D$17,3)</f>
        <v>0.53900000000000003</v>
      </c>
    </row>
    <row r="12" spans="1:5" ht="12.95" customHeight="1">
      <c r="B12" s="56"/>
      <c r="C12" s="60" t="str">
        <f>'TAMHSC Sum'!A17</f>
        <v>Student &amp; Parent</v>
      </c>
      <c r="D12" s="61">
        <f>'TAMHSC Sum'!B20</f>
        <v>38150656</v>
      </c>
      <c r="E12" s="673">
        <f t="shared" ref="E12:E15" si="0">ROUND(D12/$D$17,3)</f>
        <v>0.111</v>
      </c>
    </row>
    <row r="13" spans="1:5" ht="12.95" customHeight="1">
      <c r="B13" s="56"/>
      <c r="C13" s="60" t="str">
        <f>'TAMHSC Sum'!A22</f>
        <v>Federal Government</v>
      </c>
      <c r="D13" s="61">
        <f>'TAMHSC Sum'!B23</f>
        <v>42170209</v>
      </c>
      <c r="E13" s="673">
        <f t="shared" si="0"/>
        <v>0.122</v>
      </c>
    </row>
    <row r="14" spans="1:5" ht="12.95" customHeight="1">
      <c r="B14" s="56"/>
      <c r="C14" s="60" t="str">
        <f>'TAMHSC Sum'!A31</f>
        <v>Institutional Resources</v>
      </c>
      <c r="D14" s="61">
        <f>'TAMHSC Sum'!B38</f>
        <v>78850978</v>
      </c>
      <c r="E14" s="673">
        <f t="shared" si="0"/>
        <v>0.22800000000000001</v>
      </c>
    </row>
    <row r="15" spans="1:5" ht="12.95" customHeight="1">
      <c r="B15" s="56"/>
      <c r="C15" s="912" t="s">
        <v>58</v>
      </c>
      <c r="D15" s="61">
        <f>'TAMHSC Sum'!B29+'TAMHSC Sum'!B26</f>
        <v>0</v>
      </c>
      <c r="E15" s="673">
        <f t="shared" si="0"/>
        <v>0</v>
      </c>
    </row>
    <row r="16" spans="1:5" ht="12.95" customHeight="1">
      <c r="B16" s="56"/>
      <c r="C16" s="58"/>
      <c r="D16" s="59"/>
    </row>
    <row r="17" spans="1:5" ht="12.95" customHeight="1">
      <c r="B17" s="56"/>
      <c r="C17" s="63" t="s">
        <v>71</v>
      </c>
      <c r="D17" s="64">
        <f>SUM(D11:D16)</f>
        <v>345164284</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$345,164,284</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'TAMHSC Sum'!B10</f>
        <v>161801242</v>
      </c>
      <c r="E53" s="673">
        <f>ROUND(D53/$D$68,3)</f>
        <v>0.46899999999999997</v>
      </c>
    </row>
    <row r="54" spans="1:5" ht="12.95" customHeight="1">
      <c r="C54" s="60" t="s">
        <v>76</v>
      </c>
      <c r="D54" s="61">
        <f>'TAMHSC Sum'!B11</f>
        <v>5591867</v>
      </c>
      <c r="E54" s="673">
        <f t="shared" ref="E54:E67" si="1">ROUND(D54/$D$68,3)</f>
        <v>1.6E-2</v>
      </c>
    </row>
    <row r="55" spans="1:5" ht="12.95" customHeight="1">
      <c r="C55" s="907"/>
      <c r="D55" s="61"/>
      <c r="E55" s="673"/>
    </row>
    <row r="56" spans="1:5" ht="12.95" customHeight="1">
      <c r="C56" s="907" t="str">
        <f>'TAMHSC Sum'!A13</f>
        <v>Higher Education Fund</v>
      </c>
      <c r="D56" s="61">
        <f>'TAMHSC Sum'!B13</f>
        <v>0</v>
      </c>
      <c r="E56" s="673">
        <f t="shared" si="1"/>
        <v>0</v>
      </c>
    </row>
    <row r="57" spans="1:5" ht="12.95" customHeight="1">
      <c r="C57" s="907" t="s">
        <v>39</v>
      </c>
      <c r="D57" s="61">
        <f>'TAMHSC Sum'!B14</f>
        <v>18599332</v>
      </c>
      <c r="E57" s="673">
        <f t="shared" si="1"/>
        <v>5.3999999999999999E-2</v>
      </c>
    </row>
    <row r="58" spans="1:5" ht="12.95" customHeight="1">
      <c r="C58" s="60" t="s">
        <v>77</v>
      </c>
      <c r="D58" s="61">
        <f>'TAMHSC Sum'!B20</f>
        <v>38150656</v>
      </c>
      <c r="E58" s="673">
        <f t="shared" si="1"/>
        <v>0.111</v>
      </c>
    </row>
    <row r="59" spans="1:5" ht="12.95" customHeight="1">
      <c r="C59" s="66" t="s">
        <v>78</v>
      </c>
      <c r="D59" s="61">
        <f>'TAMHSC Sum'!B23</f>
        <v>42170209</v>
      </c>
      <c r="E59" s="673">
        <f t="shared" si="1"/>
        <v>0.122</v>
      </c>
    </row>
    <row r="60" spans="1:5" ht="12.95" customHeight="1">
      <c r="C60" s="60" t="s">
        <v>79</v>
      </c>
      <c r="D60" s="61">
        <f>'TAMHSC Sum'!B32</f>
        <v>11274793</v>
      </c>
      <c r="E60" s="673">
        <f t="shared" si="1"/>
        <v>3.3000000000000002E-2</v>
      </c>
    </row>
    <row r="61" spans="1:5" ht="12.95" customHeight="1">
      <c r="C61" s="907" t="s">
        <v>198</v>
      </c>
      <c r="D61" s="61">
        <f>'TAMHSC Sum'!B33</f>
        <v>0</v>
      </c>
      <c r="E61" s="673">
        <f t="shared" si="1"/>
        <v>0</v>
      </c>
    </row>
    <row r="62" spans="1:5" ht="12.95" customHeight="1">
      <c r="C62" s="60" t="s">
        <v>80</v>
      </c>
      <c r="D62" s="61">
        <f>'TAMHSC Sum'!B34</f>
        <v>13072394</v>
      </c>
      <c r="E62" s="673">
        <f t="shared" si="1"/>
        <v>3.7999999999999999E-2</v>
      </c>
    </row>
    <row r="63" spans="1:5" ht="12.95" customHeight="1">
      <c r="C63" s="60" t="s">
        <v>81</v>
      </c>
      <c r="D63" s="61">
        <f>'TAMHSC Sum'!B35</f>
        <v>40717912</v>
      </c>
      <c r="E63" s="673">
        <f t="shared" si="1"/>
        <v>0.11799999999999999</v>
      </c>
    </row>
    <row r="64" spans="1:5" ht="12.95" customHeight="1">
      <c r="C64" s="60" t="s">
        <v>12</v>
      </c>
      <c r="D64" s="61">
        <f>'TAMHSC Sum'!B36</f>
        <v>1966031</v>
      </c>
      <c r="E64" s="673">
        <f t="shared" si="1"/>
        <v>6.0000000000000001E-3</v>
      </c>
    </row>
    <row r="65" spans="1:5" ht="12.95" customHeight="1">
      <c r="C65" s="66" t="s">
        <v>48</v>
      </c>
      <c r="D65" s="61">
        <f>'TAMHSC Sum'!B37</f>
        <v>11819848</v>
      </c>
      <c r="E65" s="673">
        <f t="shared" si="1"/>
        <v>3.4000000000000002E-2</v>
      </c>
    </row>
    <row r="66" spans="1:5" ht="12.95" customHeight="1">
      <c r="C66" s="907" t="s">
        <v>57</v>
      </c>
      <c r="D66" s="61">
        <f>'TAMHSC Sum'!B26</f>
        <v>0</v>
      </c>
      <c r="E66" s="673">
        <f t="shared" si="1"/>
        <v>0</v>
      </c>
    </row>
    <row r="67" spans="1:5" ht="12.95" customHeight="1">
      <c r="C67" s="912" t="s">
        <v>58</v>
      </c>
      <c r="D67" s="61">
        <f>'TAMHSC Sum'!B29</f>
        <v>0</v>
      </c>
      <c r="E67" s="673">
        <f t="shared" si="1"/>
        <v>0</v>
      </c>
    </row>
    <row r="68" spans="1:5" ht="12.95" customHeight="1">
      <c r="C68" s="63" t="s">
        <v>71</v>
      </c>
      <c r="D68" s="64">
        <f>SUM(D53:D67)</f>
        <v>345164284</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$345,164,284</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'TAMHSC Sum'!B42</f>
        <v>115055491</v>
      </c>
      <c r="E102" s="673">
        <f>ROUND(D102/$D$115,3)</f>
        <v>0.40799999999999997</v>
      </c>
    </row>
    <row r="103" spans="1:5" ht="12.95" customHeight="1">
      <c r="C103" s="68" t="s">
        <v>15</v>
      </c>
      <c r="D103" s="61">
        <f>'TAMHSC Sum'!B43</f>
        <v>69989914</v>
      </c>
      <c r="E103" s="673">
        <f t="shared" ref="E103:E113" si="2">ROUND(D103/$D$115,3)</f>
        <v>0.248</v>
      </c>
    </row>
    <row r="104" spans="1:5" ht="12.95" customHeight="1">
      <c r="C104" s="68" t="s">
        <v>16</v>
      </c>
      <c r="D104" s="61">
        <f>'TAMHSC Sum'!B44</f>
        <v>11307413</v>
      </c>
      <c r="E104" s="673">
        <f t="shared" si="2"/>
        <v>0.04</v>
      </c>
    </row>
    <row r="105" spans="1:5" ht="12.95" customHeight="1">
      <c r="C105" s="68" t="s">
        <v>17</v>
      </c>
      <c r="D105" s="61">
        <f>'TAMHSC Sum'!B46</f>
        <v>33122409</v>
      </c>
      <c r="E105" s="673">
        <f t="shared" si="2"/>
        <v>0.11700000000000001</v>
      </c>
    </row>
    <row r="106" spans="1:5" ht="12.95" customHeight="1">
      <c r="C106" s="68" t="s">
        <v>18</v>
      </c>
      <c r="D106" s="61">
        <f>'TAMHSC Sum'!B47</f>
        <v>5439173</v>
      </c>
      <c r="E106" s="673">
        <f t="shared" si="2"/>
        <v>1.9E-2</v>
      </c>
    </row>
    <row r="107" spans="1:5" ht="12.95" customHeight="1">
      <c r="C107" s="68" t="s">
        <v>19</v>
      </c>
      <c r="D107" s="61">
        <f>'TAMHSC Sum'!B48</f>
        <v>14423388</v>
      </c>
      <c r="E107" s="673">
        <f t="shared" si="2"/>
        <v>5.0999999999999997E-2</v>
      </c>
    </row>
    <row r="108" spans="1:5" ht="12.95" customHeight="1">
      <c r="C108" s="68" t="s">
        <v>82</v>
      </c>
      <c r="D108" s="61">
        <f>'TAMHSC Sum'!B49</f>
        <v>23594253</v>
      </c>
      <c r="E108" s="673">
        <f t="shared" si="2"/>
        <v>8.4000000000000005E-2</v>
      </c>
    </row>
    <row r="109" spans="1:5" ht="12.95" customHeight="1">
      <c r="C109" s="68" t="s">
        <v>83</v>
      </c>
      <c r="D109" s="61">
        <f>'TAMHSC Sum'!B50</f>
        <v>2052675</v>
      </c>
      <c r="E109" s="673">
        <f t="shared" si="2"/>
        <v>7.0000000000000001E-3</v>
      </c>
    </row>
    <row r="110" spans="1:5" ht="12.95" customHeight="1">
      <c r="C110" s="68" t="s">
        <v>22</v>
      </c>
      <c r="D110" s="61">
        <f>'TAMHSC Sum'!B51</f>
        <v>2615622</v>
      </c>
      <c r="E110" s="673">
        <f t="shared" si="2"/>
        <v>8.9999999999999993E-3</v>
      </c>
    </row>
    <row r="111" spans="1:5" ht="12.95" customHeight="1">
      <c r="C111" s="68" t="s">
        <v>27</v>
      </c>
      <c r="D111" s="61">
        <f>'TAMHSC Sum'!B52</f>
        <v>3764136</v>
      </c>
      <c r="E111" s="673">
        <f t="shared" si="2"/>
        <v>1.2999999999999999E-2</v>
      </c>
    </row>
    <row r="112" spans="1:5" ht="12.95" customHeight="1">
      <c r="C112" s="66" t="s">
        <v>49</v>
      </c>
      <c r="D112" s="61">
        <f>'TAMHSC Sum'!B53</f>
        <v>871745</v>
      </c>
      <c r="E112" s="673">
        <f t="shared" si="2"/>
        <v>3.0000000000000001E-3</v>
      </c>
    </row>
    <row r="113" spans="3:5" ht="12.95" customHeight="1">
      <c r="C113" s="912" t="s">
        <v>84</v>
      </c>
      <c r="D113" s="61">
        <f>'TAMHSC Sum'!B45</f>
        <v>0</v>
      </c>
      <c r="E113" s="673">
        <f t="shared" si="2"/>
        <v>0</v>
      </c>
    </row>
    <row r="114" spans="3:5" ht="12.95" customHeight="1">
      <c r="C114" s="58"/>
      <c r="D114" s="58"/>
      <c r="E114" s="674"/>
    </row>
    <row r="115" spans="3:5" ht="12.95" customHeight="1">
      <c r="C115" s="70" t="s">
        <v>72</v>
      </c>
      <c r="D115" s="64">
        <f>SUM(D102:D114)</f>
        <v>282236219</v>
      </c>
      <c r="E115" s="674">
        <f>SUM(E102:E113)</f>
        <v>0.999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$282,236,219</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4.140625" style="74" customWidth="1"/>
    <col min="16" max="16384" width="9.140625" style="74"/>
  </cols>
  <sheetData>
    <row r="1" spans="1:15" ht="17.25" thickTop="1" thickBot="1">
      <c r="A1" s="141" t="str">
        <f>'TAMHSC Chts'!$A$1</f>
        <v>Texas A&amp;M University System Health Science Center</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1091"/>
      <c r="G2" s="1101">
        <f>VLOOKUP(A1,NamesLU,2,FALSE)</f>
        <v>89</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3113.57</v>
      </c>
      <c r="J6" s="643"/>
      <c r="O6" s="51"/>
    </row>
    <row r="7" spans="1:15">
      <c r="B7" s="79"/>
      <c r="C7" s="5"/>
      <c r="I7" s="683" t="s">
        <v>1114</v>
      </c>
      <c r="J7" s="684"/>
      <c r="O7" s="51"/>
    </row>
    <row r="8" spans="1:15">
      <c r="A8" s="81" t="s">
        <v>74</v>
      </c>
      <c r="B8" s="81"/>
      <c r="C8" s="15"/>
      <c r="I8" s="685">
        <f>VLOOKUP($G$2,FTSELU,11,FALSE)</f>
        <v>613.38</v>
      </c>
      <c r="J8" s="643"/>
      <c r="O8" s="51"/>
    </row>
    <row r="9" spans="1:15" ht="12.75" customHeight="1" thickBot="1">
      <c r="A9" s="78" t="s">
        <v>0</v>
      </c>
      <c r="B9" s="82"/>
      <c r="C9" s="8"/>
      <c r="J9" s="643"/>
      <c r="O9" s="51"/>
    </row>
    <row r="10" spans="1:15" ht="12.75" customHeight="1" thickTop="1">
      <c r="A10" s="74" t="s">
        <v>1108</v>
      </c>
      <c r="B10" s="83">
        <f>'TAMHSC FGD'!M10</f>
        <v>161801242</v>
      </c>
      <c r="C10" s="83">
        <f>ROUND(B10/$C$6,0)</f>
        <v>51966</v>
      </c>
      <c r="D10" s="143">
        <f>'TAMHSC FGD'!F10</f>
        <v>0</v>
      </c>
      <c r="E10" s="143"/>
      <c r="F10" s="84">
        <f>B10-(SUM(D10:E10))</f>
        <v>161801242</v>
      </c>
      <c r="G10" s="980" t="s">
        <v>1</v>
      </c>
      <c r="H10" s="981"/>
      <c r="I10" s="686" t="s">
        <v>1115</v>
      </c>
      <c r="J10" s="644">
        <f>ROUND(F10/$C$6,0)</f>
        <v>51966</v>
      </c>
      <c r="O10" s="51"/>
    </row>
    <row r="11" spans="1:15" ht="12.75" customHeight="1" thickBot="1">
      <c r="A11" s="74" t="s">
        <v>2</v>
      </c>
      <c r="B11" s="86">
        <f>'TAMHSC FGD'!M11</f>
        <v>5591867</v>
      </c>
      <c r="C11" s="86">
        <f t="shared" ref="C11:C14" si="0">ROUND(B11/$C$6,0)</f>
        <v>1796</v>
      </c>
      <c r="D11" s="284">
        <f>'TAMHSC FGD'!F11</f>
        <v>0</v>
      </c>
      <c r="E11" s="73"/>
      <c r="F11" s="566">
        <f t="shared" ref="F11:F14" si="1">B11-(SUM(D11:E11))</f>
        <v>5591867</v>
      </c>
      <c r="G11" s="987">
        <f>SUM(F10:F11)</f>
        <v>167393109</v>
      </c>
      <c r="H11" s="777"/>
      <c r="I11" s="791">
        <f>ROUND($G$11/$C$6,0)</f>
        <v>53762</v>
      </c>
      <c r="J11" s="645">
        <f t="shared" ref="J11:J14" si="2">ROUND(F11/$C$6,0)</f>
        <v>1796</v>
      </c>
      <c r="O11" s="51"/>
    </row>
    <row r="12" spans="1:15" ht="12.75" hidden="1" customHeight="1" thickTop="1" thickBot="1">
      <c r="A12" s="74" t="s">
        <v>1345</v>
      </c>
      <c r="B12" s="86"/>
      <c r="C12" s="86"/>
      <c r="D12" s="284"/>
      <c r="E12" s="73"/>
      <c r="F12" s="567"/>
      <c r="J12" s="645"/>
      <c r="O12" s="568"/>
    </row>
    <row r="13" spans="1:15" ht="12.75" customHeight="1" thickTop="1">
      <c r="A13" s="74" t="s">
        <v>1298</v>
      </c>
      <c r="B13" s="86">
        <f>'TAMHSC FGD'!M13</f>
        <v>0</v>
      </c>
      <c r="C13" s="86">
        <f t="shared" si="0"/>
        <v>0</v>
      </c>
      <c r="D13" s="284">
        <f>'TAMHSC FGD'!F13</f>
        <v>0</v>
      </c>
      <c r="E13" s="73"/>
      <c r="F13" s="786">
        <f t="shared" si="1"/>
        <v>0</v>
      </c>
      <c r="G13" s="780" t="s">
        <v>86</v>
      </c>
      <c r="H13" s="787"/>
      <c r="I13" s="731" t="s">
        <v>1116</v>
      </c>
      <c r="J13" s="645">
        <f t="shared" si="2"/>
        <v>0</v>
      </c>
      <c r="O13" s="51"/>
    </row>
    <row r="14" spans="1:15" ht="12.75" customHeight="1" thickBot="1">
      <c r="A14" s="74" t="s">
        <v>46</v>
      </c>
      <c r="B14" s="86">
        <f>'TAMHSC FGD'!M14</f>
        <v>18599332</v>
      </c>
      <c r="C14" s="86">
        <f t="shared" si="0"/>
        <v>5974</v>
      </c>
      <c r="D14" s="284">
        <f>'TAMHSC FGD'!F14</f>
        <v>0</v>
      </c>
      <c r="E14" s="73"/>
      <c r="F14" s="567">
        <f t="shared" si="1"/>
        <v>18599332</v>
      </c>
      <c r="G14" s="687">
        <f>SUM(F13:F14)</f>
        <v>18599332</v>
      </c>
      <c r="H14" s="788"/>
      <c r="I14" s="792">
        <f>ROUND($G$11/$I$8,0)</f>
        <v>272903</v>
      </c>
      <c r="J14" s="689">
        <f t="shared" si="2"/>
        <v>5974</v>
      </c>
      <c r="O14" s="51"/>
    </row>
    <row r="15" spans="1:15" ht="12.75" customHeight="1" thickTop="1">
      <c r="A15" s="87" t="s">
        <v>3</v>
      </c>
      <c r="B15" s="88">
        <f>SUM(B10:B14)</f>
        <v>185992441</v>
      </c>
      <c r="C15" s="88">
        <f>SUM(C10:C14)</f>
        <v>59736</v>
      </c>
      <c r="D15" s="88">
        <f>SUM(D10:D14)</f>
        <v>0</v>
      </c>
      <c r="E15" s="88">
        <f>SUM(E10:E14)</f>
        <v>0</v>
      </c>
      <c r="F15" s="646">
        <f>SUM(F10:F14)</f>
        <v>185992441</v>
      </c>
      <c r="I15" s="785"/>
      <c r="J15" s="669">
        <f>SUM(J10:J14)</f>
        <v>59736</v>
      </c>
      <c r="O15" s="51"/>
    </row>
    <row r="16" spans="1:15">
      <c r="C16" s="74"/>
      <c r="J16" s="643"/>
      <c r="O16" s="51"/>
    </row>
    <row r="17" spans="1:15" ht="12.75" customHeight="1">
      <c r="A17" s="78" t="s">
        <v>4</v>
      </c>
      <c r="C17" s="74"/>
      <c r="J17" s="643"/>
      <c r="O17" s="51"/>
    </row>
    <row r="18" spans="1:15">
      <c r="A18" s="74" t="s">
        <v>37</v>
      </c>
      <c r="B18" s="83">
        <f>'TAMHSC FGD'!M29</f>
        <v>25280321</v>
      </c>
      <c r="C18" s="83">
        <f t="shared" ref="C18:C19" si="3">ROUND(B18/$C$6,0)</f>
        <v>8119</v>
      </c>
      <c r="D18" s="143">
        <f>'TAMHSC FGD'!$F$29</f>
        <v>0</v>
      </c>
      <c r="E18" s="143"/>
      <c r="F18" s="143">
        <f t="shared" ref="F18:F19" si="4">B18-(SUM(D18:E18))</f>
        <v>25280321</v>
      </c>
      <c r="G18" s="351"/>
      <c r="H18" s="351"/>
      <c r="I18" s="351"/>
      <c r="J18" s="644">
        <f>ROUND(F18/$C$6,0)</f>
        <v>8119</v>
      </c>
      <c r="O18" s="51"/>
    </row>
    <row r="19" spans="1:15" ht="13.5" thickBot="1">
      <c r="A19" s="74" t="s">
        <v>38</v>
      </c>
      <c r="B19" s="86">
        <f>'TAMHSC FGD'!M42</f>
        <v>12870335</v>
      </c>
      <c r="C19" s="86">
        <f t="shared" si="3"/>
        <v>4134</v>
      </c>
      <c r="D19" s="73">
        <f>'TAMHSC FGD'!$F$42</f>
        <v>1105808</v>
      </c>
      <c r="E19" s="73"/>
      <c r="F19" s="73">
        <f t="shared" si="4"/>
        <v>11764527</v>
      </c>
      <c r="G19" s="351"/>
      <c r="H19" s="351"/>
      <c r="I19" s="351"/>
      <c r="J19" s="645">
        <f>ROUND(F19/$C$6,0)</f>
        <v>3778</v>
      </c>
      <c r="O19" s="51"/>
    </row>
    <row r="20" spans="1:15" ht="14.25" thickTop="1" thickBot="1">
      <c r="A20" s="87" t="s">
        <v>5</v>
      </c>
      <c r="B20" s="88">
        <f>SUM(B18:B19)</f>
        <v>38150656</v>
      </c>
      <c r="C20" s="88">
        <f>SUM(C18:C19)</f>
        <v>12253</v>
      </c>
      <c r="D20" s="647">
        <f>SUM(D18:D19)</f>
        <v>1105808</v>
      </c>
      <c r="E20" s="648">
        <f>SUM(E18:E19)</f>
        <v>0</v>
      </c>
      <c r="F20" s="690">
        <f>SUM(F18:F19)</f>
        <v>37044848</v>
      </c>
      <c r="G20" s="650" t="s">
        <v>87</v>
      </c>
      <c r="H20" s="569"/>
      <c r="I20" s="570"/>
      <c r="J20" s="651">
        <f>SUM(J18:J19)</f>
        <v>11897</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'TAMHSC FGD'!M47</f>
        <v>42170209</v>
      </c>
      <c r="C23" s="88"/>
      <c r="D23" s="647">
        <f>'TAMHSC FGD'!F47</f>
        <v>0</v>
      </c>
      <c r="E23" s="648"/>
      <c r="F23" s="690">
        <f>B23-(SUM(D23:E23))</f>
        <v>42170209</v>
      </c>
      <c r="G23" s="652" t="s">
        <v>1162</v>
      </c>
      <c r="H23" s="569"/>
      <c r="I23" s="570"/>
      <c r="J23" s="668">
        <f>ROUND(F23/$C$6,0)</f>
        <v>13544</v>
      </c>
      <c r="O23" s="51"/>
    </row>
    <row r="24" spans="1:15" ht="13.5" thickTop="1">
      <c r="C24" s="74"/>
      <c r="J24" s="643"/>
      <c r="O24" s="51"/>
    </row>
    <row r="25" spans="1:15">
      <c r="A25" s="78" t="s">
        <v>57</v>
      </c>
      <c r="C25" s="74"/>
      <c r="D25" s="73"/>
      <c r="H25" s="351"/>
      <c r="J25" s="643"/>
      <c r="O25" s="51"/>
    </row>
    <row r="26" spans="1:15">
      <c r="A26" s="87" t="s">
        <v>56</v>
      </c>
      <c r="B26" s="88">
        <f>'TAMHSC FGD'!M50</f>
        <v>0</v>
      </c>
      <c r="C26" s="88"/>
      <c r="D26" s="88">
        <f>'TAMHSC FGD'!F50</f>
        <v>0</v>
      </c>
      <c r="E26" s="88">
        <f>B26-D26</f>
        <v>0</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'TAMHSC FGD'!M53</f>
        <v>0</v>
      </c>
      <c r="C29" s="88"/>
      <c r="D29" s="88">
        <f>'TAMHSC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'TAMHSC FGD'!M56</f>
        <v>11274793</v>
      </c>
      <c r="C32" s="83"/>
      <c r="D32" s="143">
        <f>'TAMHSC FGD'!F56</f>
        <v>0</v>
      </c>
      <c r="E32" s="143"/>
      <c r="F32" s="143">
        <f t="shared" ref="F32:F37" si="7">B32-(SUM(D32:E32))</f>
        <v>11274793</v>
      </c>
      <c r="G32" s="351"/>
      <c r="H32" s="351"/>
      <c r="I32" s="351"/>
      <c r="J32" s="644">
        <f>ROUND(F32/$C$6,0)</f>
        <v>3621</v>
      </c>
      <c r="O32" s="51"/>
    </row>
    <row r="33" spans="1:30">
      <c r="A33" s="74" t="s">
        <v>9</v>
      </c>
      <c r="B33" s="86">
        <f>'TAMHSC FGD'!M57</f>
        <v>0</v>
      </c>
      <c r="C33" s="86"/>
      <c r="D33" s="284">
        <f>'TAMHSC FGD'!F57</f>
        <v>0</v>
      </c>
      <c r="E33" s="73"/>
      <c r="F33" s="73">
        <f t="shared" si="7"/>
        <v>0</v>
      </c>
      <c r="G33" s="351"/>
      <c r="H33" s="351"/>
      <c r="I33" s="351"/>
      <c r="J33" s="645">
        <f t="shared" ref="J33:J37" si="8">ROUND(F33/$C$6,0)</f>
        <v>0</v>
      </c>
      <c r="O33" s="51"/>
    </row>
    <row r="34" spans="1:30" ht="13.5" thickBot="1">
      <c r="A34" s="74" t="s">
        <v>10</v>
      </c>
      <c r="B34" s="86">
        <f>'TAMHSC FGD'!M58</f>
        <v>13072394</v>
      </c>
      <c r="C34" s="86"/>
      <c r="D34" s="284">
        <f>'TAMHSC FGD'!F58</f>
        <v>0</v>
      </c>
      <c r="E34" s="73"/>
      <c r="F34" s="73">
        <f t="shared" si="7"/>
        <v>13072394</v>
      </c>
      <c r="G34" s="351"/>
      <c r="H34" s="351"/>
      <c r="I34" s="351"/>
      <c r="J34" s="645">
        <f t="shared" si="8"/>
        <v>4199</v>
      </c>
      <c r="O34" s="51"/>
    </row>
    <row r="35" spans="1:30" ht="13.5" thickBot="1">
      <c r="A35" s="74" t="s">
        <v>11</v>
      </c>
      <c r="B35" s="86">
        <f>'TAMHSC FGD'!M59</f>
        <v>40717912</v>
      </c>
      <c r="C35" s="86"/>
      <c r="D35" s="284">
        <f>'TAMHSC FGD'!F59</f>
        <v>0</v>
      </c>
      <c r="E35" s="73"/>
      <c r="F35" s="73">
        <f t="shared" si="7"/>
        <v>40717912</v>
      </c>
      <c r="G35" s="351"/>
      <c r="H35" s="351"/>
      <c r="I35" s="351"/>
      <c r="J35" s="645">
        <f t="shared" si="8"/>
        <v>13078</v>
      </c>
      <c r="K35" s="1262"/>
      <c r="L35" s="1245"/>
      <c r="M35" s="1245"/>
      <c r="N35" s="1245"/>
      <c r="O35" s="1246"/>
    </row>
    <row r="36" spans="1:30" ht="13.5" thickBot="1">
      <c r="A36" s="92" t="s">
        <v>1362</v>
      </c>
      <c r="B36" s="86">
        <f>'TAMHSC FGD'!M60</f>
        <v>1966031</v>
      </c>
      <c r="C36" s="86"/>
      <c r="D36" s="284">
        <f>'TAMHSC FGD'!F60</f>
        <v>1966031</v>
      </c>
      <c r="E36" s="73"/>
      <c r="F36" s="73">
        <f t="shared" si="7"/>
        <v>0</v>
      </c>
      <c r="G36" s="351"/>
      <c r="H36" s="351"/>
      <c r="I36" s="351"/>
      <c r="J36" s="645">
        <f t="shared" si="8"/>
        <v>0</v>
      </c>
      <c r="K36" s="1262" t="s">
        <v>1017</v>
      </c>
      <c r="L36" s="1245"/>
      <c r="M36" s="1245"/>
      <c r="N36" s="1245"/>
      <c r="O36" s="1246"/>
    </row>
    <row r="37" spans="1:30" ht="13.5" customHeight="1" thickBot="1">
      <c r="A37" s="93" t="s">
        <v>41</v>
      </c>
      <c r="B37" s="86">
        <f>'TAMHSC FGD'!M61</f>
        <v>11819848</v>
      </c>
      <c r="C37" s="86"/>
      <c r="D37" s="284">
        <f>'TAMHSC FGD'!F61</f>
        <v>30340</v>
      </c>
      <c r="E37" s="73"/>
      <c r="F37" s="73">
        <f t="shared" si="7"/>
        <v>11789508</v>
      </c>
      <c r="G37" s="24"/>
      <c r="H37" s="24"/>
      <c r="I37" s="577"/>
      <c r="J37" s="645">
        <f t="shared" si="8"/>
        <v>3786</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78850978</v>
      </c>
      <c r="C38" s="88"/>
      <c r="D38" s="291">
        <f>SUM(D32:D37)</f>
        <v>1996371</v>
      </c>
      <c r="E38" s="291">
        <f>SUM(E32:E37)</f>
        <v>0</v>
      </c>
      <c r="F38" s="692">
        <f>SUM(F32:F37)</f>
        <v>76854607</v>
      </c>
      <c r="G38" s="1259" t="s">
        <v>8</v>
      </c>
      <c r="H38" s="1260"/>
      <c r="I38" s="693" t="s">
        <v>1118</v>
      </c>
      <c r="J38" s="653">
        <f>SUM(J32:J37)</f>
        <v>24684</v>
      </c>
      <c r="K38" s="1264"/>
      <c r="L38" s="1264"/>
      <c r="M38" s="1264"/>
      <c r="N38" s="1264" t="s">
        <v>1021</v>
      </c>
      <c r="O38" s="1264" t="s">
        <v>1022</v>
      </c>
    </row>
    <row r="39" spans="1:30" ht="13.5" thickTop="1">
      <c r="A39" s="94" t="s">
        <v>71</v>
      </c>
      <c r="B39" s="47">
        <f>B15+B20+B23+B26+B29+B38</f>
        <v>345164284</v>
      </c>
      <c r="C39" s="139"/>
      <c r="D39" s="47">
        <f>D15+D20+D23+D26+D29+D38</f>
        <v>3102179</v>
      </c>
      <c r="E39" s="47">
        <f>E15+E20+E23+E26+E29+E38</f>
        <v>0</v>
      </c>
      <c r="F39" s="778">
        <f>F38+F23+F20+F15</f>
        <v>342062105</v>
      </c>
      <c r="G39" s="1261" t="s">
        <v>89</v>
      </c>
      <c r="H39" s="1261"/>
      <c r="I39" s="793">
        <f>ROUND($G$41/$C$6,0)</f>
        <v>103888</v>
      </c>
      <c r="J39" s="654">
        <f>J15+J20+J23+J38</f>
        <v>109861</v>
      </c>
      <c r="K39" s="1264"/>
      <c r="L39" s="1264"/>
      <c r="M39" s="1264"/>
      <c r="N39" s="1264"/>
      <c r="O39" s="1264"/>
    </row>
    <row r="40" spans="1:30" ht="13.5" thickBot="1">
      <c r="C40" s="74"/>
      <c r="D40" s="351"/>
      <c r="E40" s="351"/>
      <c r="F40" s="351" t="s">
        <v>1117</v>
      </c>
      <c r="G40" s="779">
        <f>G14*-1</f>
        <v>-18599332</v>
      </c>
      <c r="H40" s="351"/>
      <c r="I40" s="693" t="s">
        <v>1120</v>
      </c>
      <c r="J40" s="655"/>
      <c r="K40" s="1265"/>
      <c r="L40" s="1265"/>
      <c r="M40" s="1265"/>
      <c r="N40" s="1265"/>
      <c r="O40" s="1265"/>
    </row>
    <row r="41" spans="1:30" ht="14.25" thickTop="1" thickBot="1">
      <c r="A41" s="81" t="s">
        <v>75</v>
      </c>
      <c r="B41" s="81"/>
      <c r="C41" s="81"/>
      <c r="D41" s="656"/>
      <c r="E41" s="656"/>
      <c r="F41" s="694" t="s">
        <v>1119</v>
      </c>
      <c r="G41" s="695">
        <f>F39+G40</f>
        <v>323462773</v>
      </c>
      <c r="I41" s="1046">
        <f>ROUND($G$41/$I$8,0)</f>
        <v>527345</v>
      </c>
      <c r="K41" s="571"/>
      <c r="L41" s="571"/>
      <c r="M41" s="571"/>
      <c r="N41" s="571"/>
      <c r="O41" s="571"/>
    </row>
    <row r="42" spans="1:30" ht="13.5" thickTop="1">
      <c r="A42" s="95" t="s">
        <v>14</v>
      </c>
      <c r="B42" s="83">
        <f>'TAMHSC FGD'!M65</f>
        <v>115055491</v>
      </c>
      <c r="C42" s="83">
        <f t="shared" ref="C42:C52" si="9">ROUND(B42/$C$6,0)</f>
        <v>36953</v>
      </c>
      <c r="D42" s="143">
        <f>'TAMHSC FGD'!F65</f>
        <v>0</v>
      </c>
      <c r="E42" s="143"/>
      <c r="F42" s="143">
        <f t="shared" ref="F42" si="10">B42-(SUM(D42:E42))</f>
        <v>115055491</v>
      </c>
      <c r="G42" s="351"/>
      <c r="H42" s="1048" t="s">
        <v>1394</v>
      </c>
      <c r="I42" s="1047">
        <f>ROUND(F42/$C$6,0)</f>
        <v>36953</v>
      </c>
      <c r="J42" s="351" t="s">
        <v>669</v>
      </c>
      <c r="K42" s="143">
        <f>F42</f>
        <v>115055491</v>
      </c>
      <c r="L42" s="143">
        <f>K42</f>
        <v>115055491</v>
      </c>
      <c r="M42" s="143"/>
      <c r="N42" s="143"/>
      <c r="O42" s="143"/>
    </row>
    <row r="43" spans="1:30">
      <c r="A43" s="95" t="s">
        <v>15</v>
      </c>
      <c r="B43" s="86">
        <f>'TAMHSC FGD'!M66</f>
        <v>69989914</v>
      </c>
      <c r="C43" s="86">
        <f t="shared" si="9"/>
        <v>22479</v>
      </c>
      <c r="D43" s="357">
        <f>'TAMHSC FGD'!F66</f>
        <v>0</v>
      </c>
      <c r="E43" s="73"/>
      <c r="F43" s="73">
        <f t="shared" ref="F43:F44" si="11">B43-(SUM(D43:E43))</f>
        <v>69989914</v>
      </c>
      <c r="G43" s="351"/>
      <c r="H43" s="351"/>
      <c r="J43" s="351" t="s">
        <v>1093</v>
      </c>
      <c r="K43" s="357">
        <f>F43</f>
        <v>69989914</v>
      </c>
      <c r="L43" s="357">
        <f>K43</f>
        <v>69989914</v>
      </c>
      <c r="M43" s="357"/>
      <c r="N43" s="357"/>
      <c r="O43" s="357"/>
    </row>
    <row r="44" spans="1:30">
      <c r="A44" s="95" t="s">
        <v>16</v>
      </c>
      <c r="B44" s="86">
        <f>'TAMHSC FGD'!M67</f>
        <v>11307413</v>
      </c>
      <c r="C44" s="86"/>
      <c r="D44" s="357">
        <f>'TAMHSC FGD'!F67</f>
        <v>0</v>
      </c>
      <c r="E44" s="284">
        <f>B44-D44</f>
        <v>11307413</v>
      </c>
      <c r="F44" s="73">
        <f t="shared" si="11"/>
        <v>0</v>
      </c>
      <c r="G44" s="351"/>
      <c r="H44" s="351"/>
      <c r="I44" s="351"/>
      <c r="J44" s="351" t="s">
        <v>1094</v>
      </c>
      <c r="K44" s="670"/>
      <c r="L44" s="671"/>
      <c r="M44" s="671" t="s">
        <v>1095</v>
      </c>
      <c r="N44" s="671"/>
      <c r="O44" s="672"/>
    </row>
    <row r="45" spans="1:30">
      <c r="A45" s="96" t="s">
        <v>55</v>
      </c>
      <c r="B45" s="86">
        <f>'TAMHSC FGD'!M68</f>
        <v>0</v>
      </c>
      <c r="C45" s="86"/>
      <c r="D45" s="357">
        <f>'TAMHSC FGD'!F68</f>
        <v>0</v>
      </c>
      <c r="E45" s="284">
        <f>B45-D45</f>
        <v>0</v>
      </c>
      <c r="F45" s="73">
        <f t="shared" ref="F45" si="12">B45-(SUM(D45:E45))</f>
        <v>0</v>
      </c>
      <c r="G45" s="776"/>
      <c r="J45" s="51" t="s">
        <v>1096</v>
      </c>
      <c r="K45" s="1266" t="s">
        <v>1095</v>
      </c>
      <c r="L45" s="1267"/>
      <c r="M45" s="1267"/>
      <c r="N45" s="1267"/>
      <c r="O45" s="1268"/>
    </row>
    <row r="46" spans="1:30">
      <c r="A46" s="95" t="s">
        <v>17</v>
      </c>
      <c r="B46" s="86">
        <f>'TAMHSC FGD'!M69</f>
        <v>33122409</v>
      </c>
      <c r="C46" s="86">
        <f t="shared" si="9"/>
        <v>10638</v>
      </c>
      <c r="D46" s="357">
        <f>'TAMHSC FGD'!F69</f>
        <v>0</v>
      </c>
      <c r="E46" s="73"/>
      <c r="F46" s="73">
        <f t="shared" ref="F46:F53" si="13">B46-(SUM(D46:E46))</f>
        <v>33122409</v>
      </c>
      <c r="G46" s="351"/>
      <c r="H46" s="1048" t="s">
        <v>1395</v>
      </c>
      <c r="I46" s="1047">
        <f>ROUND(F46/$C$6,0)</f>
        <v>10638</v>
      </c>
      <c r="J46" s="351" t="s">
        <v>1097</v>
      </c>
      <c r="K46" s="357">
        <f t="shared" ref="K46:K50" si="14">F46</f>
        <v>33122409</v>
      </c>
      <c r="L46" s="357">
        <f>K46</f>
        <v>33122409</v>
      </c>
      <c r="M46" s="357"/>
      <c r="N46" s="357"/>
      <c r="O46" s="357"/>
    </row>
    <row r="47" spans="1:30">
      <c r="A47" s="95" t="s">
        <v>18</v>
      </c>
      <c r="B47" s="86">
        <f>'TAMHSC FGD'!M70</f>
        <v>5439173</v>
      </c>
      <c r="C47" s="86">
        <f t="shared" si="9"/>
        <v>1747</v>
      </c>
      <c r="D47" s="357">
        <f>'TAMHSC FGD'!F70</f>
        <v>0</v>
      </c>
      <c r="E47" s="73"/>
      <c r="F47" s="73">
        <f t="shared" si="13"/>
        <v>5439173</v>
      </c>
      <c r="G47" s="351"/>
      <c r="H47" s="351"/>
      <c r="I47" s="351"/>
      <c r="J47" s="351" t="s">
        <v>1098</v>
      </c>
      <c r="K47" s="357">
        <f t="shared" si="14"/>
        <v>5439173</v>
      </c>
      <c r="L47" s="357"/>
      <c r="M47" s="357">
        <f>K47</f>
        <v>5439173</v>
      </c>
      <c r="N47" s="357"/>
      <c r="O47" s="357"/>
    </row>
    <row r="48" spans="1:30">
      <c r="A48" s="95" t="s">
        <v>19</v>
      </c>
      <c r="B48" s="86">
        <f>'TAMHSC FGD'!M71</f>
        <v>14423388</v>
      </c>
      <c r="C48" s="86">
        <f t="shared" si="9"/>
        <v>4632</v>
      </c>
      <c r="D48" s="357">
        <f>'TAMHSC FGD'!F71</f>
        <v>0</v>
      </c>
      <c r="E48" s="73"/>
      <c r="F48" s="73">
        <f t="shared" si="13"/>
        <v>14423388</v>
      </c>
      <c r="G48" s="351"/>
      <c r="H48" s="1048" t="s">
        <v>1396</v>
      </c>
      <c r="I48" s="1047">
        <f>ROUND(F48/$C$6,0)</f>
        <v>4632</v>
      </c>
      <c r="J48" s="351" t="s">
        <v>675</v>
      </c>
      <c r="K48" s="357">
        <f t="shared" si="14"/>
        <v>14423388</v>
      </c>
      <c r="L48" s="357"/>
      <c r="M48" s="357"/>
      <c r="N48" s="357">
        <f>K48</f>
        <v>14423388</v>
      </c>
      <c r="O48" s="357"/>
    </row>
    <row r="49" spans="1:30">
      <c r="A49" s="95" t="s">
        <v>20</v>
      </c>
      <c r="B49" s="86">
        <f>'TAMHSC FGD'!M72</f>
        <v>23594253</v>
      </c>
      <c r="C49" s="86"/>
      <c r="D49" s="357">
        <f>'TAMHSC FGD'!F72</f>
        <v>0</v>
      </c>
      <c r="E49" s="73"/>
      <c r="F49" s="73">
        <f t="shared" si="13"/>
        <v>23594253</v>
      </c>
      <c r="G49" s="351"/>
      <c r="H49" s="351"/>
      <c r="I49" s="351"/>
      <c r="J49" s="351" t="s">
        <v>676</v>
      </c>
      <c r="K49" s="357">
        <f t="shared" si="14"/>
        <v>23594253</v>
      </c>
      <c r="L49" s="357"/>
      <c r="M49" s="357"/>
      <c r="N49" s="357">
        <f>K49</f>
        <v>23594253</v>
      </c>
      <c r="O49" s="357"/>
    </row>
    <row r="50" spans="1:30">
      <c r="A50" s="95" t="s">
        <v>21</v>
      </c>
      <c r="B50" s="86">
        <f>'TAMHSC FGD'!M73</f>
        <v>2052675</v>
      </c>
      <c r="C50" s="86">
        <f t="shared" si="9"/>
        <v>659</v>
      </c>
      <c r="D50" s="357">
        <f>'TAMHSC FGD'!F73</f>
        <v>0</v>
      </c>
      <c r="E50" s="73"/>
      <c r="F50" s="73">
        <f t="shared" si="13"/>
        <v>2052675</v>
      </c>
      <c r="G50" s="351"/>
      <c r="H50" s="351"/>
      <c r="I50" s="351"/>
      <c r="J50" s="351" t="s">
        <v>1099</v>
      </c>
      <c r="K50" s="357">
        <f t="shared" si="14"/>
        <v>2052675</v>
      </c>
      <c r="L50" s="357"/>
      <c r="M50" s="357">
        <f>K50</f>
        <v>2052675</v>
      </c>
      <c r="N50" s="357"/>
      <c r="O50" s="357"/>
    </row>
    <row r="51" spans="1:30">
      <c r="A51" s="95" t="s">
        <v>1363</v>
      </c>
      <c r="B51" s="86">
        <f>'TAMHSC FGD'!M74</f>
        <v>2615622</v>
      </c>
      <c r="C51" s="86"/>
      <c r="D51" s="657">
        <f>B51</f>
        <v>2615622</v>
      </c>
      <c r="E51" s="73"/>
      <c r="F51" s="73">
        <f t="shared" si="13"/>
        <v>0</v>
      </c>
      <c r="G51" s="351"/>
      <c r="H51" s="351"/>
      <c r="I51" s="351"/>
      <c r="J51" s="351" t="s">
        <v>660</v>
      </c>
      <c r="K51" s="670"/>
      <c r="L51" s="671"/>
      <c r="M51" s="671" t="s">
        <v>1095</v>
      </c>
      <c r="N51" s="671"/>
      <c r="O51" s="672"/>
    </row>
    <row r="52" spans="1:30">
      <c r="A52" s="95" t="s">
        <v>65</v>
      </c>
      <c r="B52" s="86">
        <f>'TAMHSC FGD'!M75</f>
        <v>3764136</v>
      </c>
      <c r="C52" s="86">
        <f t="shared" si="9"/>
        <v>1209</v>
      </c>
      <c r="D52" s="357">
        <f>'TAMHSC FGD'!F75</f>
        <v>277401</v>
      </c>
      <c r="E52" s="73"/>
      <c r="F52" s="73">
        <f t="shared" si="13"/>
        <v>3486735</v>
      </c>
      <c r="G52" s="351"/>
      <c r="J52" s="351" t="s">
        <v>1100</v>
      </c>
      <c r="K52" s="357">
        <f t="shared" ref="K52:K53" si="15">F52</f>
        <v>3486735</v>
      </c>
      <c r="L52" s="357"/>
      <c r="M52" s="357"/>
      <c r="N52" s="357"/>
      <c r="O52" s="357">
        <f>K52</f>
        <v>3486735</v>
      </c>
    </row>
    <row r="53" spans="1:30" ht="13.5" thickBot="1">
      <c r="A53" s="74" t="s">
        <v>47</v>
      </c>
      <c r="B53" s="86">
        <f>'TAMHSC FGD'!M76</f>
        <v>871745</v>
      </c>
      <c r="C53" s="86"/>
      <c r="D53" s="357">
        <f>'TAMHSC FGD'!F76</f>
        <v>0</v>
      </c>
      <c r="E53" s="73"/>
      <c r="F53" s="73">
        <f t="shared" si="13"/>
        <v>871745</v>
      </c>
      <c r="G53" s="24"/>
      <c r="H53" s="1048" t="s">
        <v>1397</v>
      </c>
      <c r="I53" s="1047">
        <f>ROUND(SUM(F43+F47+F49+F50+F52+F53)/$C$6,0)</f>
        <v>33863</v>
      </c>
      <c r="J53" s="572" t="s">
        <v>1022</v>
      </c>
      <c r="K53" s="357">
        <f t="shared" si="15"/>
        <v>871745</v>
      </c>
      <c r="L53" s="573"/>
      <c r="M53" s="573"/>
      <c r="N53" s="573"/>
      <c r="O53" s="357">
        <f>K53</f>
        <v>871745</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282236219</v>
      </c>
      <c r="C54" s="48">
        <f>SUM(C42:C53)</f>
        <v>78317</v>
      </c>
      <c r="D54" s="48">
        <f>SUM(D42:D53)</f>
        <v>2893023</v>
      </c>
      <c r="E54" s="698">
        <f>SUM(E43:E53)</f>
        <v>11307413</v>
      </c>
      <c r="F54" s="649">
        <f>SUM(F42:F53)</f>
        <v>268035783</v>
      </c>
      <c r="G54" s="1279" t="s">
        <v>1121</v>
      </c>
      <c r="H54" s="1280"/>
      <c r="I54" s="697" t="s">
        <v>1398</v>
      </c>
      <c r="J54" s="572" t="s">
        <v>1101</v>
      </c>
      <c r="K54" s="574">
        <f>SUM(K42:K53)</f>
        <v>268035783</v>
      </c>
      <c r="L54" s="574">
        <f t="shared" ref="L54:O54" si="16">SUM(L42:L53)</f>
        <v>218167814</v>
      </c>
      <c r="M54" s="574">
        <f t="shared" si="16"/>
        <v>7491848</v>
      </c>
      <c r="N54" s="574">
        <f t="shared" si="16"/>
        <v>38017641</v>
      </c>
      <c r="O54" s="574">
        <f t="shared" si="16"/>
        <v>4358480</v>
      </c>
    </row>
    <row r="55" spans="1:30" ht="14.25" customHeight="1" thickTop="1" thickBot="1">
      <c r="A55" s="92"/>
      <c r="C55" s="74"/>
      <c r="F55" s="575"/>
      <c r="G55" s="1281"/>
      <c r="H55" s="1282"/>
      <c r="I55" s="699">
        <f>ROUND(F54/C6,0)</f>
        <v>86086</v>
      </c>
      <c r="J55" s="1258" t="s">
        <v>1102</v>
      </c>
      <c r="K55" s="573"/>
      <c r="L55" s="573"/>
      <c r="M55" s="573"/>
      <c r="N55" s="573"/>
      <c r="O55" s="573"/>
    </row>
    <row r="56" spans="1:30" ht="16.5" customHeight="1" thickBot="1">
      <c r="A56" s="78" t="s">
        <v>23</v>
      </c>
      <c r="C56" s="74"/>
      <c r="F56" s="576"/>
      <c r="G56" s="1283"/>
      <c r="H56" s="1284"/>
      <c r="I56" s="693" t="s">
        <v>1399</v>
      </c>
      <c r="J56" s="1258"/>
      <c r="K56" s="700">
        <f>ROUND(K54/$C$6,2)</f>
        <v>86086.32</v>
      </c>
      <c r="L56" s="700">
        <f t="shared" ref="L56:O56" si="17">ROUND(L54/$C$6,2)</f>
        <v>70069.990000000005</v>
      </c>
      <c r="M56" s="700">
        <f t="shared" si="17"/>
        <v>2406.19</v>
      </c>
      <c r="N56" s="700">
        <f t="shared" si="17"/>
        <v>12210.31</v>
      </c>
      <c r="O56" s="700">
        <f t="shared" si="17"/>
        <v>1399.83</v>
      </c>
      <c r="P56" s="89"/>
      <c r="Q56" s="89"/>
      <c r="R56" s="89"/>
      <c r="S56" s="89"/>
      <c r="T56" s="89"/>
      <c r="U56" s="89"/>
      <c r="V56" s="89"/>
      <c r="W56" s="89"/>
      <c r="X56" s="89"/>
      <c r="Y56" s="89"/>
      <c r="Z56" s="89"/>
      <c r="AA56" s="89"/>
      <c r="AB56" s="89"/>
      <c r="AC56" s="89"/>
      <c r="AD56" s="89"/>
    </row>
    <row r="57" spans="1:30" ht="13.5" thickTop="1">
      <c r="A57" s="74" t="s">
        <v>66</v>
      </c>
      <c r="B57" s="86">
        <f>'TAMHSC FGD'!M80</f>
        <v>-157046</v>
      </c>
      <c r="C57" s="86"/>
      <c r="D57" s="143">
        <f>'TAMHSC FGD'!F80</f>
        <v>0</v>
      </c>
      <c r="E57" s="143"/>
      <c r="F57" s="1045">
        <f t="shared" ref="F57:F60" si="18">B57-(SUM(D57:E57))</f>
        <v>-157046</v>
      </c>
      <c r="G57" s="780"/>
      <c r="I57" s="696">
        <f>ROUND($F$54/$I$8,0)</f>
        <v>436982</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'TAMHSC FGD'!M81</f>
        <v>-9235016</v>
      </c>
      <c r="C58" s="86"/>
      <c r="D58" s="285">
        <f>'TAMHSC FGD'!F81</f>
        <v>115888</v>
      </c>
      <c r="E58" s="82"/>
      <c r="F58" s="73">
        <f t="shared" si="18"/>
        <v>-9350904</v>
      </c>
      <c r="G58" s="351"/>
      <c r="J58" s="351"/>
      <c r="K58" s="578"/>
      <c r="L58" s="578"/>
      <c r="M58" s="578"/>
      <c r="N58" s="578"/>
      <c r="O58" s="578"/>
    </row>
    <row r="59" spans="1:30">
      <c r="A59" s="98" t="s">
        <v>52</v>
      </c>
      <c r="B59" s="86">
        <f>'TAMHSC FGD'!M82</f>
        <v>0</v>
      </c>
      <c r="C59" s="86"/>
      <c r="D59" s="285">
        <f>'TAMHSC FGD'!F82</f>
        <v>0</v>
      </c>
      <c r="E59" s="82"/>
      <c r="F59" s="73">
        <f t="shared" si="18"/>
        <v>0</v>
      </c>
      <c r="G59" s="24"/>
      <c r="J59" s="658"/>
      <c r="K59" s="658"/>
      <c r="L59" s="658"/>
      <c r="M59" s="658"/>
      <c r="N59" s="658"/>
      <c r="O59" s="658"/>
    </row>
    <row r="60" spans="1:30" ht="12" customHeight="1">
      <c r="A60" s="74" t="s">
        <v>43</v>
      </c>
      <c r="B60" s="86">
        <f>'TAMHSC FGD'!M83</f>
        <v>-21613244</v>
      </c>
      <c r="C60" s="86"/>
      <c r="D60" s="285">
        <f>'TAMHSC FGD'!F83</f>
        <v>0</v>
      </c>
      <c r="E60" s="82"/>
      <c r="F60" s="73">
        <f t="shared" si="18"/>
        <v>-21613244</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-31005306</v>
      </c>
      <c r="C61" s="88"/>
      <c r="D61" s="88">
        <f>SUM(D57:D60)</f>
        <v>115888</v>
      </c>
      <c r="E61" s="88">
        <f>SUM(E57:E60)</f>
        <v>0</v>
      </c>
      <c r="F61" s="99">
        <f>SUM(F57:F60)</f>
        <v>-31121194</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'TAMHSC FGD'!M87</f>
        <v>4668422</v>
      </c>
      <c r="C64" s="86"/>
      <c r="D64" s="143">
        <f>'TAMHSC FGD'!F87</f>
        <v>0</v>
      </c>
      <c r="E64" s="143"/>
      <c r="F64" s="143">
        <f t="shared" ref="F64:F65" si="19">B64-(SUM(D64:E64))</f>
        <v>4668422</v>
      </c>
      <c r="O64" s="51"/>
    </row>
    <row r="65" spans="1:30">
      <c r="A65" s="74" t="s">
        <v>45</v>
      </c>
      <c r="B65" s="86">
        <f>'TAMHSC FGD'!M88</f>
        <v>2000</v>
      </c>
      <c r="C65" s="86"/>
      <c r="D65" s="285">
        <f>'TAMHSC FGD'!F88</f>
        <v>0</v>
      </c>
      <c r="E65" s="82"/>
      <c r="F65" s="73">
        <f t="shared" si="19"/>
        <v>2000</v>
      </c>
      <c r="O65" s="51"/>
      <c r="P65" s="89"/>
      <c r="Q65" s="89"/>
      <c r="R65" s="89"/>
      <c r="S65" s="89"/>
      <c r="T65" s="89"/>
      <c r="U65" s="89"/>
      <c r="V65" s="89"/>
      <c r="W65" s="89"/>
      <c r="X65" s="89"/>
      <c r="Y65" s="89"/>
      <c r="Z65" s="89"/>
      <c r="AA65" s="89"/>
      <c r="AB65" s="89"/>
      <c r="AC65" s="89"/>
      <c r="AD65" s="89"/>
    </row>
    <row r="66" spans="1:30" s="92" customFormat="1">
      <c r="A66" s="87" t="s">
        <v>3</v>
      </c>
      <c r="B66" s="88">
        <f>SUM(B64:B65)</f>
        <v>4670422</v>
      </c>
      <c r="C66" s="88"/>
      <c r="D66" s="88">
        <f>SUM(D64:D65)</f>
        <v>0</v>
      </c>
      <c r="E66" s="88">
        <f>SUM(E64:E65)</f>
        <v>0</v>
      </c>
      <c r="F66" s="88">
        <f>SUM(F64:F65)</f>
        <v>4670422</v>
      </c>
      <c r="G66" s="51"/>
      <c r="H66" s="51"/>
      <c r="I66" s="51"/>
      <c r="J66" s="51"/>
      <c r="K66" s="51"/>
      <c r="L66" s="51"/>
      <c r="M66" s="51"/>
      <c r="N66" s="51"/>
      <c r="O66" s="51"/>
    </row>
    <row r="67" spans="1:30">
      <c r="C67" s="74"/>
      <c r="O67" s="51"/>
    </row>
    <row r="68" spans="1:30" ht="13.5" thickBot="1">
      <c r="A68" s="100" t="s">
        <v>616</v>
      </c>
      <c r="B68" s="49">
        <f>B39-B54+B61+B66</f>
        <v>36593181</v>
      </c>
      <c r="C68" s="49"/>
      <c r="D68" s="49">
        <f>D39-D54+D61+D66</f>
        <v>325044</v>
      </c>
      <c r="E68" s="49">
        <f>E39-E54+E61+E66</f>
        <v>-11307413</v>
      </c>
      <c r="F68" s="49">
        <f>F39-F54+F61+F66</f>
        <v>47575550</v>
      </c>
      <c r="O68" s="51"/>
    </row>
    <row r="69" spans="1:30" ht="13.5" thickTop="1"/>
    <row r="70" spans="1:30">
      <c r="A70" s="51" t="s">
        <v>1109</v>
      </c>
      <c r="D70" s="143"/>
    </row>
    <row r="71" spans="1:30">
      <c r="A71" s="74" t="s">
        <v>51</v>
      </c>
    </row>
    <row r="72" spans="1:30">
      <c r="B72" s="659">
        <f>'TAMHSC FGD'!$M$91</f>
        <v>36593181</v>
      </c>
      <c r="C72" s="74"/>
      <c r="D72" s="659">
        <f>'TAMHSC FGD'!F91</f>
        <v>325044</v>
      </c>
      <c r="E72" s="659">
        <f>'TAMHSC FGD'!M50</f>
        <v>0</v>
      </c>
      <c r="F72" s="74"/>
    </row>
    <row r="73" spans="1:30">
      <c r="B73" s="659"/>
      <c r="C73" s="74"/>
      <c r="D73" s="659">
        <f>'TAMHSC FGD'!F74</f>
        <v>2615622</v>
      </c>
      <c r="E73" s="659">
        <f>'TAMHSC FGD'!M53</f>
        <v>0</v>
      </c>
      <c r="F73" s="659"/>
    </row>
    <row r="74" spans="1:30">
      <c r="B74" s="676"/>
      <c r="C74" s="92"/>
      <c r="D74" s="676">
        <f>-'TAMHSC FGD'!M74</f>
        <v>-2615622</v>
      </c>
      <c r="E74" s="659">
        <f>-'TAMHSC FGD'!M68</f>
        <v>0</v>
      </c>
      <c r="F74" s="659"/>
    </row>
    <row r="75" spans="1:30">
      <c r="B75" s="676"/>
      <c r="C75" s="74"/>
      <c r="D75" s="676"/>
      <c r="E75" s="676">
        <f>-'TAMHSC FGD'!M67</f>
        <v>-11307413</v>
      </c>
      <c r="F75" s="659"/>
      <c r="G75" s="351"/>
      <c r="H75" s="351"/>
    </row>
    <row r="76" spans="1:30" ht="12.75" customHeight="1">
      <c r="B76" s="675"/>
      <c r="C76" s="74"/>
      <c r="D76" s="675"/>
      <c r="E76" s="675">
        <f>-D26</f>
        <v>0</v>
      </c>
      <c r="F76" s="659"/>
      <c r="G76" s="351"/>
      <c r="H76" s="351"/>
    </row>
    <row r="77" spans="1:30" ht="12.75" customHeight="1">
      <c r="B77" s="659">
        <f>SUM(B72:B76)</f>
        <v>36593181</v>
      </c>
      <c r="C77" s="74"/>
      <c r="D77" s="659">
        <f>SUM(D72:D76)</f>
        <v>325044</v>
      </c>
      <c r="E77" s="659">
        <f>SUM(E72:E76)</f>
        <v>-11307413</v>
      </c>
      <c r="F77" s="659">
        <f>B77-D77-E77</f>
        <v>47575550</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36593181</v>
      </c>
      <c r="C80" s="74"/>
      <c r="D80" s="659">
        <f>SUM(D77:D79)</f>
        <v>325044</v>
      </c>
      <c r="E80" s="659">
        <f>SUM(E77:E79)</f>
        <v>-11307413</v>
      </c>
      <c r="F80" s="659">
        <f>SUM(F77:F79)</f>
        <v>47575550</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6.7109375" style="166" customWidth="1"/>
    <col min="14" max="14" width="5.1406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O1" s="292"/>
      <c r="P1" s="293"/>
      <c r="Q1" s="293"/>
      <c r="R1" s="293"/>
      <c r="S1" s="293"/>
      <c r="T1" s="293"/>
      <c r="U1" s="293"/>
      <c r="V1" s="293"/>
      <c r="W1" s="293"/>
      <c r="X1" s="293"/>
      <c r="Y1" s="293"/>
      <c r="Z1" s="293"/>
      <c r="AA1" s="293"/>
      <c r="AB1" s="293"/>
    </row>
    <row r="2" spans="1:28" ht="20.25">
      <c r="A2" s="173">
        <v>1</v>
      </c>
      <c r="B2" s="1273" t="str">
        <f>'TAMHSC Chts'!$A$1</f>
        <v>Texas A&amp;M University System Health Science Center</v>
      </c>
      <c r="C2" s="1273"/>
      <c r="D2" s="1273"/>
      <c r="E2" s="1273"/>
      <c r="F2" s="1273"/>
      <c r="H2" s="174"/>
      <c r="I2" s="149" t="str">
        <f>IF($B$2&lt;&gt;Input!$H$12,"Name Mismatch","")</f>
        <v/>
      </c>
      <c r="K2" s="174"/>
      <c r="L2" s="174"/>
      <c r="M2" s="175"/>
      <c r="O2" s="737" t="s">
        <v>1123</v>
      </c>
      <c r="P2" s="294"/>
    </row>
    <row r="3" spans="1:28" ht="20.25">
      <c r="A3" s="173">
        <v>2</v>
      </c>
      <c r="B3" s="1273" t="str">
        <f>'Smmy Chts'!$A$2</f>
        <v>For the Year Ended August 31, 2018</v>
      </c>
      <c r="C3" s="1273"/>
      <c r="D3" s="1273"/>
      <c r="E3" s="1273"/>
      <c r="F3" s="1273"/>
      <c r="G3" s="174"/>
      <c r="H3" s="174"/>
      <c r="K3" s="174"/>
      <c r="L3" s="174"/>
      <c r="M3" s="175"/>
      <c r="O3" s="73"/>
    </row>
    <row r="4" spans="1:28" ht="20.25">
      <c r="A4" s="173">
        <v>3</v>
      </c>
      <c r="B4" s="1273" t="str">
        <f>'Smmy Chts'!$A$3</f>
        <v>Source: FY 2018 Annual Financial Report</v>
      </c>
      <c r="C4" s="1273"/>
      <c r="D4" s="1273"/>
      <c r="E4" s="1273"/>
      <c r="F4" s="1273"/>
      <c r="G4" s="174"/>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Input!$M$12</f>
        <v>161801242</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161801242</v>
      </c>
      <c r="O10" s="184"/>
      <c r="P10" s="1308" t="s">
        <v>595</v>
      </c>
      <c r="Q10" s="50"/>
      <c r="R10" s="50"/>
      <c r="S10" s="50"/>
      <c r="T10" s="183"/>
      <c r="U10" s="183"/>
      <c r="V10" s="50"/>
      <c r="W10" s="50"/>
      <c r="X10" s="50"/>
      <c r="Y10" s="50"/>
      <c r="Z10" s="50"/>
      <c r="AA10" s="50"/>
      <c r="AB10" s="50"/>
    </row>
    <row r="11" spans="1:28" s="149" customFormat="1">
      <c r="A11" s="147">
        <v>10</v>
      </c>
      <c r="B11" s="149" t="s">
        <v>2</v>
      </c>
      <c r="D11" s="355">
        <f>Input!$V$12</f>
        <v>566299</v>
      </c>
      <c r="E11" s="355">
        <f>Input!$W$12</f>
        <v>268392</v>
      </c>
      <c r="F11" s="355">
        <f>Input!$X$12</f>
        <v>0</v>
      </c>
      <c r="G11" s="355">
        <f>Input!$Y$12</f>
        <v>4757176</v>
      </c>
      <c r="H11" s="355">
        <f>Input!$Z$12</f>
        <v>0</v>
      </c>
      <c r="I11" s="355">
        <f>Input!$AA$12</f>
        <v>0</v>
      </c>
      <c r="J11" s="355">
        <f>Input!$AB$12</f>
        <v>0</v>
      </c>
      <c r="K11" s="355">
        <f>Input!$AC$12</f>
        <v>0</v>
      </c>
      <c r="L11" s="355">
        <f>Input!$AD$12</f>
        <v>0</v>
      </c>
      <c r="M11" s="357">
        <f t="shared" si="0"/>
        <v>5591867</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Input!$AN$12</f>
        <v>0</v>
      </c>
      <c r="E13" s="355">
        <f>Input!$AO$12</f>
        <v>0</v>
      </c>
      <c r="F13" s="355">
        <f>Input!$AP$12</f>
        <v>0</v>
      </c>
      <c r="G13" s="355">
        <f>Input!$AQ$12</f>
        <v>0</v>
      </c>
      <c r="H13" s="355">
        <f>Input!$AR$12</f>
        <v>0</v>
      </c>
      <c r="I13" s="355">
        <f>Input!$AS$12</f>
        <v>0</v>
      </c>
      <c r="J13" s="355">
        <f>Input!$AT$12</f>
        <v>0</v>
      </c>
      <c r="K13" s="355">
        <f>Input!$AU$12</f>
        <v>0</v>
      </c>
      <c r="L13" s="355">
        <f>Input!$AV$12</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Input!$AW$12</f>
        <v>0</v>
      </c>
      <c r="E14" s="355">
        <f>Input!$AX$12</f>
        <v>18599332</v>
      </c>
      <c r="F14" s="355">
        <f>Input!$AY$12</f>
        <v>0</v>
      </c>
      <c r="G14" s="355">
        <f>Input!$AZ$12</f>
        <v>0</v>
      </c>
      <c r="H14" s="355">
        <f>Input!$BA$12</f>
        <v>0</v>
      </c>
      <c r="I14" s="355">
        <f>Input!$BB$12</f>
        <v>0</v>
      </c>
      <c r="J14" s="355">
        <f>Input!$BC$12</f>
        <v>0</v>
      </c>
      <c r="K14" s="355">
        <f>Input!$BD$12</f>
        <v>0</v>
      </c>
      <c r="L14" s="355">
        <f>Input!$BE$12</f>
        <v>0</v>
      </c>
      <c r="M14" s="357">
        <f t="shared" si="0"/>
        <v>18599332</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162367541</v>
      </c>
      <c r="E15" s="356">
        <f t="shared" ref="E15:L15" si="1">SUM(E10:E14)</f>
        <v>18867724</v>
      </c>
      <c r="F15" s="356">
        <f t="shared" si="1"/>
        <v>0</v>
      </c>
      <c r="G15" s="356">
        <f t="shared" si="1"/>
        <v>4757176</v>
      </c>
      <c r="H15" s="356">
        <f t="shared" si="1"/>
        <v>0</v>
      </c>
      <c r="I15" s="356">
        <f t="shared" si="1"/>
        <v>0</v>
      </c>
      <c r="J15" s="356">
        <f t="shared" si="1"/>
        <v>0</v>
      </c>
      <c r="K15" s="356">
        <f t="shared" si="1"/>
        <v>0</v>
      </c>
      <c r="L15" s="356">
        <f t="shared" si="1"/>
        <v>0</v>
      </c>
      <c r="M15" s="356">
        <f t="shared" si="0"/>
        <v>185992441</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20831331</v>
      </c>
      <c r="E18" s="356">
        <f t="shared" si="2"/>
        <v>9530815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30362146</v>
      </c>
      <c r="V18" s="342"/>
      <c r="X18" s="326"/>
    </row>
    <row r="19" spans="1:26" s="50" customFormat="1" ht="12.75" customHeight="1" thickTop="1" thickBot="1">
      <c r="A19" s="293"/>
      <c r="B19" s="51" t="s">
        <v>638</v>
      </c>
      <c r="C19" s="51"/>
      <c r="D19" s="355">
        <f>Input!$BF$12</f>
        <v>-2589708</v>
      </c>
      <c r="E19" s="355">
        <f>Input!$BG$12</f>
        <v>0</v>
      </c>
      <c r="F19" s="355">
        <f>Input!$BH$12</f>
        <v>0</v>
      </c>
      <c r="G19" s="355">
        <f>Input!$BI$12</f>
        <v>0</v>
      </c>
      <c r="H19" s="355">
        <f>Input!$BJ$12</f>
        <v>0</v>
      </c>
      <c r="I19" s="355">
        <f>Input!BK6</f>
        <v>0</v>
      </c>
      <c r="J19" s="355">
        <f>Input!$BL$12</f>
        <v>0</v>
      </c>
      <c r="K19" s="355">
        <f>Input!BM6</f>
        <v>0</v>
      </c>
      <c r="L19" s="355">
        <f>Input!BN6</f>
        <v>0</v>
      </c>
      <c r="M19" s="357">
        <f t="shared" si="3"/>
        <v>-2589708</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Input!$BO$12</f>
        <v>0</v>
      </c>
      <c r="E20" s="355">
        <f>Input!$BP$12</f>
        <v>0</v>
      </c>
      <c r="F20" s="355">
        <f>Input!$BQ$12</f>
        <v>0</v>
      </c>
      <c r="G20" s="355">
        <f>Input!$BR$12</f>
        <v>0</v>
      </c>
      <c r="H20" s="355">
        <f>Input!$BS$12</f>
        <v>0</v>
      </c>
      <c r="I20" s="355">
        <f>Input!$BT$12</f>
        <v>0</v>
      </c>
      <c r="J20" s="355">
        <f>Input!BU6</f>
        <v>0</v>
      </c>
      <c r="K20" s="355">
        <f>Input!BV6</f>
        <v>0</v>
      </c>
      <c r="L20" s="355">
        <f>Input!$BW$12</f>
        <v>0</v>
      </c>
      <c r="M20" s="357">
        <f t="shared" si="3"/>
        <v>0</v>
      </c>
      <c r="O20" s="414" t="s">
        <v>215</v>
      </c>
      <c r="P20" s="415"/>
      <c r="Q20" s="416"/>
      <c r="R20" s="416"/>
      <c r="S20" s="537"/>
      <c r="U20" s="538" t="s">
        <v>997</v>
      </c>
      <c r="V20" s="296"/>
      <c r="W20" s="296"/>
      <c r="Y20" s="420"/>
    </row>
    <row r="21" spans="1:26" s="50" customFormat="1">
      <c r="A21" s="293"/>
      <c r="B21" s="51" t="s">
        <v>640</v>
      </c>
      <c r="C21" s="51"/>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430"/>
      <c r="R21" s="347"/>
      <c r="S21" s="539"/>
      <c r="U21" s="621" t="s">
        <v>998</v>
      </c>
      <c r="V21" s="296"/>
      <c r="W21" s="296"/>
      <c r="X21" s="622">
        <f>M44</f>
        <v>38150656</v>
      </c>
      <c r="Y21" s="420"/>
      <c r="Z21" s="326"/>
    </row>
    <row r="22" spans="1:26" s="50" customFormat="1">
      <c r="A22" s="293"/>
      <c r="B22" s="51" t="s">
        <v>641</v>
      </c>
      <c r="C22" s="51"/>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99"/>
      <c r="O22" s="430" t="s">
        <v>999</v>
      </c>
      <c r="P22" s="305"/>
      <c r="Q22" s="419">
        <f>M23</f>
        <v>27772438</v>
      </c>
      <c r="S22" s="540"/>
      <c r="U22" s="621" t="s">
        <v>1000</v>
      </c>
      <c r="V22" s="296"/>
      <c r="W22" s="296"/>
      <c r="X22" s="623">
        <f>R30*-1</f>
        <v>3760866</v>
      </c>
      <c r="Y22" s="420"/>
    </row>
    <row r="23" spans="1:26" s="50" customFormat="1" ht="12.75" customHeight="1">
      <c r="A23" s="293"/>
      <c r="B23" s="536" t="s">
        <v>642</v>
      </c>
      <c r="C23" s="179"/>
      <c r="D23" s="541">
        <f>Input!$CP$12</f>
        <v>18241623</v>
      </c>
      <c r="E23" s="541">
        <f>Input!$CQ$12</f>
        <v>9530815</v>
      </c>
      <c r="F23" s="541">
        <f>Input!$CR$12</f>
        <v>0</v>
      </c>
      <c r="G23" s="541">
        <f>Input!$CS$12</f>
        <v>0</v>
      </c>
      <c r="H23" s="541">
        <f>Input!$CT$12</f>
        <v>0</v>
      </c>
      <c r="I23" s="541">
        <f>Input!$CU$12</f>
        <v>0</v>
      </c>
      <c r="J23" s="541">
        <f>Input!$CV$12</f>
        <v>0</v>
      </c>
      <c r="K23" s="541">
        <f>Input!$CW$12</f>
        <v>0</v>
      </c>
      <c r="L23" s="541">
        <f>Input!$CX$12</f>
        <v>0</v>
      </c>
      <c r="M23" s="542">
        <f t="shared" si="3"/>
        <v>27772438</v>
      </c>
      <c r="O23" s="430"/>
      <c r="P23" s="305"/>
      <c r="Q23" s="419"/>
      <c r="S23" s="540"/>
      <c r="U23" s="538" t="s">
        <v>1185</v>
      </c>
      <c r="V23" s="296"/>
      <c r="W23" s="296"/>
      <c r="X23" s="305"/>
      <c r="Y23" s="420">
        <f>SUM(X21:X22)</f>
        <v>41911522</v>
      </c>
      <c r="Z23" s="326"/>
    </row>
    <row r="24" spans="1:26" s="50" customFormat="1" ht="12.75" customHeight="1">
      <c r="A24" s="293"/>
      <c r="B24" s="51" t="s">
        <v>643</v>
      </c>
      <c r="C24" s="180"/>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43">
        <f t="shared" si="3"/>
        <v>0</v>
      </c>
      <c r="O24" s="418" t="s">
        <v>1001</v>
      </c>
      <c r="P24" s="305"/>
      <c r="Q24" s="342"/>
      <c r="R24" s="342">
        <f>SUM(M24:M28)</f>
        <v>-2492117</v>
      </c>
      <c r="S24" s="540"/>
      <c r="U24" s="538"/>
      <c r="V24" s="296"/>
      <c r="W24" s="296"/>
      <c r="Y24" s="420"/>
      <c r="Z24" s="326"/>
    </row>
    <row r="25" spans="1:26" s="50" customFormat="1" ht="12.75" customHeight="1">
      <c r="A25" s="293"/>
      <c r="B25" s="51" t="s">
        <v>644</v>
      </c>
      <c r="C25" s="180"/>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43">
        <f t="shared" si="3"/>
        <v>0</v>
      </c>
      <c r="O25" s="430"/>
      <c r="P25" s="305"/>
      <c r="Q25" s="342"/>
      <c r="R25" s="342"/>
      <c r="S25" s="540"/>
      <c r="U25" s="544" t="s">
        <v>1045</v>
      </c>
      <c r="V25" s="545"/>
      <c r="W25" s="545"/>
      <c r="X25" s="624">
        <f>(M26+M39)*-1</f>
        <v>691449</v>
      </c>
      <c r="Y25" s="420"/>
      <c r="Z25" s="326"/>
    </row>
    <row r="26" spans="1:26" s="50" customFormat="1" ht="12.75" customHeight="1">
      <c r="A26" s="293"/>
      <c r="B26" s="51" t="s">
        <v>645</v>
      </c>
      <c r="C26" s="180"/>
      <c r="D26" s="355">
        <f>Input!$DQ$12</f>
        <v>-252792</v>
      </c>
      <c r="E26" s="355">
        <f>Input!$DR$12</f>
        <v>-166670</v>
      </c>
      <c r="F26" s="355">
        <f>Input!$DS$12</f>
        <v>0</v>
      </c>
      <c r="G26" s="355">
        <f>Input!$DT$12</f>
        <v>0</v>
      </c>
      <c r="H26" s="355">
        <f>Input!$DU$12</f>
        <v>0</v>
      </c>
      <c r="I26" s="355">
        <f>Input!$DV$12</f>
        <v>0</v>
      </c>
      <c r="J26" s="355">
        <f>Input!$DW$12</f>
        <v>0</v>
      </c>
      <c r="K26" s="355">
        <f>Input!$DX$12</f>
        <v>0</v>
      </c>
      <c r="L26" s="355">
        <f>Input!$DY$12</f>
        <v>0</v>
      </c>
      <c r="M26" s="543">
        <f t="shared" si="3"/>
        <v>-419462</v>
      </c>
      <c r="O26" s="430" t="s">
        <v>1002</v>
      </c>
      <c r="P26" s="305"/>
      <c r="Q26" s="422">
        <f>M36</f>
        <v>14139084</v>
      </c>
      <c r="R26" s="423"/>
      <c r="S26" s="546"/>
      <c r="U26" s="538" t="s">
        <v>1046</v>
      </c>
      <c r="V26" s="296"/>
      <c r="W26" s="296"/>
      <c r="X26" s="547">
        <f>(M21+M34)*-1</f>
        <v>0</v>
      </c>
      <c r="Y26" s="420"/>
      <c r="Z26" s="326"/>
    </row>
    <row r="27" spans="1:26" s="50" customFormat="1">
      <c r="A27" s="293"/>
      <c r="B27" s="51" t="s">
        <v>646</v>
      </c>
      <c r="C27" s="180"/>
      <c r="D27" s="355">
        <f>Input!$DZ$12</f>
        <v>0</v>
      </c>
      <c r="E27" s="355">
        <f>Input!$EA$12</f>
        <v>0</v>
      </c>
      <c r="F27" s="355">
        <f>Input!$EB$12</f>
        <v>0</v>
      </c>
      <c r="G27" s="355">
        <f>Input!$EC$12</f>
        <v>0</v>
      </c>
      <c r="H27" s="355">
        <f>Input!$ED$12</f>
        <v>0</v>
      </c>
      <c r="I27" s="355">
        <f>Input!$EE$12</f>
        <v>0</v>
      </c>
      <c r="J27" s="355">
        <f>Input!$EF$12</f>
        <v>0</v>
      </c>
      <c r="K27" s="355">
        <f>Input!$EG$12</f>
        <v>0</v>
      </c>
      <c r="L27" s="355">
        <f>Input!$EH$12</f>
        <v>0</v>
      </c>
      <c r="M27" s="543">
        <f t="shared" si="3"/>
        <v>0</v>
      </c>
      <c r="O27" s="430"/>
      <c r="P27" s="305"/>
      <c r="Q27" s="422"/>
      <c r="R27" s="423"/>
      <c r="S27" s="546"/>
      <c r="U27" s="621" t="s">
        <v>1047</v>
      </c>
      <c r="V27" s="221"/>
      <c r="W27" s="221"/>
      <c r="X27" s="625">
        <f>SUM(X25:X26)</f>
        <v>691449</v>
      </c>
      <c r="Y27" s="626"/>
    </row>
    <row r="28" spans="1:26" s="50" customFormat="1">
      <c r="A28" s="293"/>
      <c r="B28" s="51" t="s">
        <v>1361</v>
      </c>
      <c r="C28" s="180"/>
      <c r="D28" s="355">
        <f>Input!$EI$12</f>
        <v>-1384092</v>
      </c>
      <c r="E28" s="355">
        <f>Input!$EJ$12</f>
        <v>-688563</v>
      </c>
      <c r="F28" s="355">
        <f>Input!$EK$12</f>
        <v>0</v>
      </c>
      <c r="G28" s="355">
        <f>Input!$EL$12</f>
        <v>0</v>
      </c>
      <c r="H28" s="355">
        <f>Input!$EM$12</f>
        <v>0</v>
      </c>
      <c r="I28" s="355">
        <f>Input!$EN$12</f>
        <v>0</v>
      </c>
      <c r="J28" s="355">
        <f>Input!$EO$12</f>
        <v>0</v>
      </c>
      <c r="K28" s="355">
        <f>Input!$EP$12</f>
        <v>0</v>
      </c>
      <c r="L28" s="355">
        <f>Input!$EQ$12</f>
        <v>0</v>
      </c>
      <c r="M28" s="543">
        <f t="shared" si="3"/>
        <v>-2072655</v>
      </c>
      <c r="O28" s="418" t="s">
        <v>1003</v>
      </c>
      <c r="Q28" s="425"/>
      <c r="R28" s="342">
        <f>SUM(M37:M41)</f>
        <v>-1268749</v>
      </c>
      <c r="S28" s="540"/>
      <c r="U28" s="538" t="s">
        <v>1048</v>
      </c>
      <c r="V28" s="296"/>
      <c r="W28" s="296"/>
      <c r="X28" s="420">
        <f>(M27+M40)*-1</f>
        <v>0</v>
      </c>
      <c r="Y28" s="626"/>
      <c r="Z28" s="326"/>
    </row>
    <row r="29" spans="1:26" s="50" customFormat="1" ht="12" customHeight="1">
      <c r="A29" s="293"/>
      <c r="B29" s="551" t="s">
        <v>37</v>
      </c>
      <c r="C29" s="179"/>
      <c r="D29" s="356">
        <f t="shared" ref="D29:L29" si="4">SUM(D23:D28)</f>
        <v>16604739</v>
      </c>
      <c r="E29" s="356">
        <f t="shared" si="4"/>
        <v>8675582</v>
      </c>
      <c r="F29" s="356">
        <f t="shared" si="4"/>
        <v>0</v>
      </c>
      <c r="G29" s="356">
        <f t="shared" si="4"/>
        <v>0</v>
      </c>
      <c r="H29" s="356">
        <f t="shared" si="4"/>
        <v>0</v>
      </c>
      <c r="I29" s="356">
        <f t="shared" si="4"/>
        <v>0</v>
      </c>
      <c r="J29" s="356">
        <f t="shared" si="4"/>
        <v>0</v>
      </c>
      <c r="K29" s="356">
        <f t="shared" si="4"/>
        <v>0</v>
      </c>
      <c r="L29" s="356">
        <f t="shared" si="4"/>
        <v>0</v>
      </c>
      <c r="M29" s="356">
        <f t="shared" si="3"/>
        <v>25280321</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41911522</v>
      </c>
      <c r="R30" s="429">
        <f>R28+R24</f>
        <v>-3760866</v>
      </c>
      <c r="S30" s="553"/>
      <c r="U30" s="621" t="s">
        <v>1050</v>
      </c>
      <c r="V30" s="221"/>
      <c r="W30" s="221"/>
      <c r="X30" s="625">
        <f>SUM(X28:X29)</f>
        <v>0</v>
      </c>
      <c r="Y30" s="626"/>
    </row>
    <row r="31" spans="1:26" s="50" customFormat="1" ht="12.75" customHeight="1">
      <c r="A31" s="293"/>
      <c r="B31" s="536" t="s">
        <v>1005</v>
      </c>
      <c r="C31" s="536"/>
      <c r="D31" s="356">
        <f t="shared" ref="D31:L31" si="5">D36-SUM(D32:D35)</f>
        <v>67581</v>
      </c>
      <c r="E31" s="356">
        <f t="shared" si="5"/>
        <v>12856685</v>
      </c>
      <c r="F31" s="356">
        <f t="shared" si="5"/>
        <v>1214818</v>
      </c>
      <c r="G31" s="356">
        <f t="shared" si="5"/>
        <v>0</v>
      </c>
      <c r="H31" s="356">
        <f t="shared" si="5"/>
        <v>0</v>
      </c>
      <c r="I31" s="356">
        <f t="shared" si="5"/>
        <v>0</v>
      </c>
      <c r="J31" s="356">
        <f t="shared" si="5"/>
        <v>0</v>
      </c>
      <c r="K31" s="356">
        <f t="shared" si="5"/>
        <v>0</v>
      </c>
      <c r="L31" s="356">
        <f t="shared" si="5"/>
        <v>0</v>
      </c>
      <c r="M31" s="356">
        <f t="shared" ref="M31:M42" si="6">D31+E31+F31+G31+H31+I31+J31+K31+L31</f>
        <v>14139084</v>
      </c>
      <c r="O31" s="430" t="s">
        <v>217</v>
      </c>
      <c r="P31" s="305"/>
      <c r="Q31" s="349"/>
      <c r="R31" s="305"/>
      <c r="S31" s="540"/>
      <c r="U31" s="548" t="s">
        <v>1051</v>
      </c>
      <c r="V31" s="549"/>
      <c r="W31" s="549"/>
      <c r="X31" s="550">
        <f>X27+X30</f>
        <v>691449</v>
      </c>
      <c r="Y31" s="420"/>
      <c r="Z31" s="326"/>
    </row>
    <row r="32" spans="1:26" s="50" customFormat="1" ht="12.75" customHeight="1">
      <c r="A32" s="293"/>
      <c r="B32" s="51" t="s">
        <v>638</v>
      </c>
      <c r="C32" s="51"/>
      <c r="D32" s="355">
        <f>Input!$ER$12</f>
        <v>0</v>
      </c>
      <c r="E32" s="355">
        <f>Input!$ES$12</f>
        <v>0</v>
      </c>
      <c r="F32" s="355">
        <f>Input!$ET$12</f>
        <v>0</v>
      </c>
      <c r="G32" s="355">
        <f>Input!$EU$12</f>
        <v>0</v>
      </c>
      <c r="H32" s="355">
        <f>Input!$EV$12</f>
        <v>0</v>
      </c>
      <c r="I32" s="355">
        <f>Input!$EW$12</f>
        <v>0</v>
      </c>
      <c r="J32" s="355">
        <f>Input!$EX$12</f>
        <v>0</v>
      </c>
      <c r="K32" s="355">
        <f>Input!$EY$12</f>
        <v>0</v>
      </c>
      <c r="L32" s="355">
        <f>Input!$EZ$12</f>
        <v>0</v>
      </c>
      <c r="M32" s="543">
        <f t="shared" si="6"/>
        <v>0</v>
      </c>
      <c r="O32" s="431" t="s">
        <v>1245</v>
      </c>
      <c r="P32" s="432"/>
      <c r="Q32" s="433">
        <f>Input!$TI$12</f>
        <v>41911522</v>
      </c>
      <c r="R32" s="432"/>
      <c r="S32" s="554"/>
      <c r="U32" s="538"/>
      <c r="V32" s="296"/>
      <c r="W32" s="296"/>
      <c r="Y32" s="420"/>
      <c r="Z32" s="326"/>
    </row>
    <row r="33" spans="1:28" s="50" customFormat="1">
      <c r="A33" s="293"/>
      <c r="B33" s="51" t="s">
        <v>639</v>
      </c>
      <c r="C33" s="51"/>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43">
        <f t="shared" si="6"/>
        <v>0</v>
      </c>
      <c r="O33" s="431"/>
      <c r="P33" s="432"/>
      <c r="Q33" s="342"/>
      <c r="R33" s="432"/>
      <c r="S33" s="554"/>
      <c r="U33" s="538" t="s">
        <v>1004</v>
      </c>
      <c r="V33" s="296"/>
      <c r="W33" s="296"/>
      <c r="X33" s="347">
        <f>(M19+M32)*-1</f>
        <v>2589708</v>
      </c>
      <c r="Y33" s="420"/>
    </row>
    <row r="34" spans="1:28" s="50" customFormat="1">
      <c r="A34" s="293"/>
      <c r="B34" s="51" t="s">
        <v>640</v>
      </c>
      <c r="C34" s="51"/>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43">
        <f t="shared" si="6"/>
        <v>0</v>
      </c>
      <c r="O34" s="434" t="s">
        <v>1246</v>
      </c>
      <c r="P34" s="435"/>
      <c r="Q34" s="50" t="s">
        <v>218</v>
      </c>
      <c r="R34" s="433">
        <f>Input!$TJ$12</f>
        <v>-3760866</v>
      </c>
      <c r="S34" s="555"/>
      <c r="U34" s="538" t="s">
        <v>1052</v>
      </c>
      <c r="V34" s="296"/>
      <c r="W34" s="296"/>
      <c r="X34" s="426">
        <f>(M24+M37)*-1</f>
        <v>0</v>
      </c>
      <c r="Y34" s="420"/>
    </row>
    <row r="35" spans="1:28" s="50" customFormat="1" ht="13.5" thickBot="1">
      <c r="A35" s="293"/>
      <c r="B35" s="51" t="s">
        <v>641</v>
      </c>
      <c r="C35" s="51"/>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43">
        <f t="shared" si="6"/>
        <v>0</v>
      </c>
      <c r="O35" s="436" t="s">
        <v>219</v>
      </c>
      <c r="P35" s="437"/>
      <c r="Q35" s="438">
        <f>Q30-Q32</f>
        <v>0</v>
      </c>
      <c r="R35" s="439">
        <f>R30-R34</f>
        <v>0</v>
      </c>
      <c r="S35" s="556"/>
      <c r="U35" s="621" t="s">
        <v>1053</v>
      </c>
      <c r="V35" s="221"/>
      <c r="W35" s="221"/>
      <c r="X35" s="627">
        <f>SUM(X33:X34)</f>
        <v>2589708</v>
      </c>
      <c r="Y35" s="626"/>
    </row>
    <row r="36" spans="1:28" s="50" customFormat="1" ht="13.5" thickTop="1">
      <c r="A36" s="293"/>
      <c r="B36" s="536" t="s">
        <v>648</v>
      </c>
      <c r="C36" s="179"/>
      <c r="D36" s="541">
        <f>Input!$GB$12</f>
        <v>67581</v>
      </c>
      <c r="E36" s="541">
        <f>Input!$GC$12</f>
        <v>12856685</v>
      </c>
      <c r="F36" s="541">
        <f>Input!$GD$12</f>
        <v>1214818</v>
      </c>
      <c r="G36" s="541">
        <f>Input!$GE$12</f>
        <v>0</v>
      </c>
      <c r="H36" s="541">
        <f>Input!$GF$12</f>
        <v>0</v>
      </c>
      <c r="I36" s="541">
        <f>Input!$GG$12</f>
        <v>0</v>
      </c>
      <c r="J36" s="541">
        <f>Input!$GH$12</f>
        <v>0</v>
      </c>
      <c r="K36" s="541">
        <f>Input!$GI$12</f>
        <v>0</v>
      </c>
      <c r="L36" s="541">
        <f>Input!$GJ$12</f>
        <v>0</v>
      </c>
      <c r="M36" s="542">
        <f t="shared" si="6"/>
        <v>14139084</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43">
        <f t="shared" si="6"/>
        <v>0</v>
      </c>
      <c r="O37" s="51"/>
      <c r="U37" s="538" t="s">
        <v>1054</v>
      </c>
      <c r="V37" s="296"/>
      <c r="W37" s="296"/>
      <c r="X37" s="426">
        <f>(M25+M38)*-1</f>
        <v>0</v>
      </c>
      <c r="Y37" s="626"/>
    </row>
    <row r="38" spans="1:28" s="50" customFormat="1">
      <c r="A38" s="293"/>
      <c r="B38" s="51" t="s">
        <v>644</v>
      </c>
      <c r="C38" s="180"/>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43">
        <f t="shared" si="6"/>
        <v>0</v>
      </c>
      <c r="O38" s="51"/>
      <c r="U38" s="621" t="s">
        <v>1055</v>
      </c>
      <c r="V38" s="221"/>
      <c r="W38" s="221"/>
      <c r="X38" s="627">
        <f>SUM(X36:X37)</f>
        <v>0</v>
      </c>
      <c r="Y38" s="420"/>
    </row>
    <row r="39" spans="1:28" s="50" customFormat="1">
      <c r="A39" s="293"/>
      <c r="B39" s="51" t="s">
        <v>645</v>
      </c>
      <c r="C39" s="180"/>
      <c r="D39" s="355">
        <f>Input!$HC$12</f>
        <v>-924</v>
      </c>
      <c r="E39" s="355">
        <f>Input!$HD$12</f>
        <v>-245628</v>
      </c>
      <c r="F39" s="355">
        <f>Input!$HE$12</f>
        <v>-25435</v>
      </c>
      <c r="G39" s="355">
        <f>Input!$HF$12</f>
        <v>0</v>
      </c>
      <c r="H39" s="355">
        <f>Input!$HG$12</f>
        <v>0</v>
      </c>
      <c r="I39" s="355">
        <f>Input!$HH$12</f>
        <v>0</v>
      </c>
      <c r="J39" s="355">
        <f>Input!$HI$12</f>
        <v>0</v>
      </c>
      <c r="K39" s="355">
        <f>Input!$HJ$12</f>
        <v>0</v>
      </c>
      <c r="L39" s="355">
        <f>Input!$HK$12</f>
        <v>0</v>
      </c>
      <c r="M39" s="543">
        <f t="shared" si="6"/>
        <v>-271987</v>
      </c>
      <c r="O39" s="51"/>
      <c r="U39" s="538" t="s">
        <v>1007</v>
      </c>
      <c r="V39" s="296"/>
      <c r="W39" s="296"/>
      <c r="X39" s="347"/>
      <c r="Y39" s="420">
        <f>X38+X35</f>
        <v>2589708</v>
      </c>
    </row>
    <row r="40" spans="1:28" s="50" customFormat="1">
      <c r="A40" s="293"/>
      <c r="B40" s="51" t="s">
        <v>646</v>
      </c>
      <c r="C40" s="180"/>
      <c r="D40" s="355">
        <f>Input!$HL$12</f>
        <v>0</v>
      </c>
      <c r="E40" s="355">
        <f>Input!$HM$12</f>
        <v>0</v>
      </c>
      <c r="F40" s="355">
        <f>Input!$HN$12</f>
        <v>0</v>
      </c>
      <c r="G40" s="355">
        <f>Input!$HO$12</f>
        <v>0</v>
      </c>
      <c r="H40" s="355">
        <f>Input!$HP$12</f>
        <v>0</v>
      </c>
      <c r="I40" s="355">
        <f>Input!$HQ$12</f>
        <v>0</v>
      </c>
      <c r="J40" s="355">
        <f>Input!$HR$12</f>
        <v>0</v>
      </c>
      <c r="K40" s="355">
        <f>Input!$HS$12</f>
        <v>0</v>
      </c>
      <c r="L40" s="355">
        <f>Input!$HT$12</f>
        <v>0</v>
      </c>
      <c r="M40" s="543">
        <f t="shared" si="6"/>
        <v>0</v>
      </c>
      <c r="O40" s="51"/>
      <c r="U40" s="538"/>
      <c r="V40" s="51"/>
      <c r="W40" s="51"/>
      <c r="X40" s="51"/>
      <c r="Y40" s="626"/>
    </row>
    <row r="41" spans="1:28" s="50" customFormat="1">
      <c r="A41" s="293"/>
      <c r="B41" s="51" t="s">
        <v>1361</v>
      </c>
      <c r="C41" s="180"/>
      <c r="D41" s="355">
        <f>Input!$HU$12</f>
        <v>-5140</v>
      </c>
      <c r="E41" s="355">
        <f>Input!$HV$12</f>
        <v>-908047</v>
      </c>
      <c r="F41" s="355">
        <f>Input!$HW$12</f>
        <v>-83575</v>
      </c>
      <c r="G41" s="355">
        <f>Input!$HX$12</f>
        <v>0</v>
      </c>
      <c r="H41" s="355">
        <f>Input!$HY$12</f>
        <v>0</v>
      </c>
      <c r="I41" s="355">
        <f>Input!$HZ$12</f>
        <v>0</v>
      </c>
      <c r="J41" s="355">
        <f>Input!$IA$12</f>
        <v>0</v>
      </c>
      <c r="K41" s="355">
        <f>Input!$IB$12</f>
        <v>0</v>
      </c>
      <c r="L41" s="355">
        <f>Input!$IC$12</f>
        <v>0</v>
      </c>
      <c r="M41" s="543">
        <f t="shared" si="6"/>
        <v>-996762</v>
      </c>
      <c r="O41"/>
      <c r="P41"/>
      <c r="Q41"/>
      <c r="R41"/>
      <c r="S41"/>
      <c r="U41" s="538" t="s">
        <v>1046</v>
      </c>
      <c r="V41" s="296"/>
      <c r="W41" s="296"/>
      <c r="X41" s="326">
        <f>(M21+M34)*-1</f>
        <v>0</v>
      </c>
      <c r="Y41" s="420"/>
    </row>
    <row r="42" spans="1:28" s="50" customFormat="1">
      <c r="A42" s="293"/>
      <c r="B42" s="551" t="s">
        <v>38</v>
      </c>
      <c r="C42" s="179"/>
      <c r="D42" s="356">
        <f t="shared" ref="D42:L42" si="7">SUM(D36:D41)</f>
        <v>61517</v>
      </c>
      <c r="E42" s="356">
        <f t="shared" si="7"/>
        <v>11703010</v>
      </c>
      <c r="F42" s="356">
        <f t="shared" si="7"/>
        <v>1105808</v>
      </c>
      <c r="G42" s="356">
        <f t="shared" si="7"/>
        <v>0</v>
      </c>
      <c r="H42" s="356">
        <f t="shared" si="7"/>
        <v>0</v>
      </c>
      <c r="I42" s="356">
        <f t="shared" si="7"/>
        <v>0</v>
      </c>
      <c r="J42" s="356">
        <f t="shared" si="7"/>
        <v>0</v>
      </c>
      <c r="K42" s="356">
        <f t="shared" si="7"/>
        <v>0</v>
      </c>
      <c r="L42" s="356">
        <f t="shared" si="7"/>
        <v>0</v>
      </c>
      <c r="M42" s="356">
        <f t="shared" si="6"/>
        <v>12870335</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16666256</v>
      </c>
      <c r="E44" s="356">
        <f t="shared" si="8"/>
        <v>20378592</v>
      </c>
      <c r="F44" s="356">
        <f t="shared" si="8"/>
        <v>1105808</v>
      </c>
      <c r="G44" s="356">
        <f t="shared" si="8"/>
        <v>0</v>
      </c>
      <c r="H44" s="356">
        <f t="shared" si="8"/>
        <v>0</v>
      </c>
      <c r="I44" s="356">
        <f t="shared" si="8"/>
        <v>0</v>
      </c>
      <c r="J44" s="356">
        <f t="shared" si="8"/>
        <v>0</v>
      </c>
      <c r="K44" s="356">
        <f t="shared" si="8"/>
        <v>0</v>
      </c>
      <c r="L44" s="356">
        <f t="shared" si="8"/>
        <v>0</v>
      </c>
      <c r="M44" s="356">
        <f>D44+E44+F44+G44+H44+I44+J44+K44+L44</f>
        <v>38150656</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Input!$ID$12</f>
        <v>0</v>
      </c>
      <c r="E47" s="358">
        <f>Input!$IE$12</f>
        <v>9896943</v>
      </c>
      <c r="F47" s="358">
        <f>Input!$IF$12</f>
        <v>0</v>
      </c>
      <c r="G47" s="358">
        <f>Input!$IG$12</f>
        <v>32273266</v>
      </c>
      <c r="H47" s="358">
        <f>Input!$IH$12</f>
        <v>0</v>
      </c>
      <c r="I47" s="358">
        <f>Input!$II$12</f>
        <v>0</v>
      </c>
      <c r="J47" s="358">
        <f>Input!$IJ$12</f>
        <v>0</v>
      </c>
      <c r="K47" s="358">
        <f>Input!$IK$12</f>
        <v>0</v>
      </c>
      <c r="L47" s="358">
        <f>Input!$IL$12</f>
        <v>0</v>
      </c>
      <c r="M47" s="356">
        <f>D47+E47+F47+G47+H47+I47+J47+K47+L47</f>
        <v>42170209</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44501230</v>
      </c>
      <c r="Z49" s="50"/>
      <c r="AA49" s="50"/>
      <c r="AB49" s="50"/>
    </row>
    <row r="50" spans="1:28" s="149" customFormat="1">
      <c r="A50" s="147">
        <v>33</v>
      </c>
      <c r="B50" s="158" t="s">
        <v>56</v>
      </c>
      <c r="C50" s="158"/>
      <c r="D50" s="358">
        <f>Input!$IM$12</f>
        <v>0</v>
      </c>
      <c r="E50" s="358">
        <f>Input!$IN$12</f>
        <v>0</v>
      </c>
      <c r="F50" s="358">
        <f>Input!$IO$12</f>
        <v>0</v>
      </c>
      <c r="G50" s="358">
        <f>Input!$IP$12</f>
        <v>0</v>
      </c>
      <c r="H50" s="358">
        <f>Input!$IQ$12</f>
        <v>0</v>
      </c>
      <c r="I50" s="358">
        <f>Input!$IR$12</f>
        <v>0</v>
      </c>
      <c r="J50" s="358">
        <f>Input!$IS$12</f>
        <v>0</v>
      </c>
      <c r="K50" s="358">
        <f>Input!$IT$12</f>
        <v>0</v>
      </c>
      <c r="L50" s="358">
        <f>Input!$IU$12</f>
        <v>0</v>
      </c>
      <c r="M50" s="356">
        <f>D50+E50+F50+G50+H50+I50+J50+K50+L50</f>
        <v>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Input!$IV$12</f>
        <v>0</v>
      </c>
      <c r="E53" s="358">
        <f>Input!$IW$12</f>
        <v>0</v>
      </c>
      <c r="F53" s="358">
        <f>Input!$IX$12</f>
        <v>0</v>
      </c>
      <c r="G53" s="358">
        <f>Input!$IY$12</f>
        <v>0</v>
      </c>
      <c r="H53" s="358">
        <f>Input!$IZ$12</f>
        <v>0</v>
      </c>
      <c r="I53" s="358">
        <f>Input!$JA$12</f>
        <v>0</v>
      </c>
      <c r="J53" s="358">
        <f>Input!$JB$12</f>
        <v>0</v>
      </c>
      <c r="K53" s="358">
        <f>Input!$JC$12</f>
        <v>0</v>
      </c>
      <c r="L53" s="358">
        <f>Input!$JD$12</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Input!$JE$12</f>
        <v>2203820</v>
      </c>
      <c r="E56" s="355">
        <f>Input!$JF$12</f>
        <v>8225639</v>
      </c>
      <c r="F56" s="355">
        <f>Input!$JG$12</f>
        <v>0</v>
      </c>
      <c r="G56" s="355">
        <f>Input!$JH$12</f>
        <v>325931</v>
      </c>
      <c r="H56" s="355">
        <f>Input!$JI$12</f>
        <v>26699</v>
      </c>
      <c r="I56" s="355">
        <f>Input!$JJ$12</f>
        <v>492704</v>
      </c>
      <c r="J56" s="355">
        <f>Input!$JK$12</f>
        <v>0</v>
      </c>
      <c r="K56" s="355">
        <f>Input!$JL$12</f>
        <v>0</v>
      </c>
      <c r="L56" s="355">
        <f>Input!$JM$12</f>
        <v>0</v>
      </c>
      <c r="M56" s="357">
        <f t="shared" ref="M56:M62" si="9">D56+E56+F56+G56+H56+I56+J56+K56+L56</f>
        <v>11274793</v>
      </c>
      <c r="O56" s="51"/>
      <c r="P56" s="50"/>
      <c r="Q56" s="50"/>
      <c r="R56" s="50"/>
      <c r="S56" s="50"/>
      <c r="T56" s="50"/>
      <c r="U56" s="50"/>
      <c r="V56" s="50"/>
      <c r="W56" s="50"/>
      <c r="X56" s="306"/>
      <c r="Y56" s="50"/>
      <c r="Z56" s="50"/>
      <c r="AA56" s="50"/>
      <c r="AB56" s="50"/>
    </row>
    <row r="57" spans="1:28" s="149" customFormat="1">
      <c r="A57" s="147">
        <v>40</v>
      </c>
      <c r="B57" s="149" t="s">
        <v>9</v>
      </c>
      <c r="D57" s="355">
        <f>Input!$JN$12</f>
        <v>0</v>
      </c>
      <c r="E57" s="355">
        <f>Input!$JO$12</f>
        <v>0</v>
      </c>
      <c r="F57" s="355">
        <f>Input!$JP$12</f>
        <v>0</v>
      </c>
      <c r="G57" s="355">
        <f>Input!$JQ$12</f>
        <v>0</v>
      </c>
      <c r="H57" s="355">
        <f>Input!$JR$12</f>
        <v>0</v>
      </c>
      <c r="I57" s="355">
        <f>Input!$JS$12</f>
        <v>0</v>
      </c>
      <c r="J57" s="355">
        <f>Input!$JT$12</f>
        <v>0</v>
      </c>
      <c r="K57" s="355">
        <f>Input!$JU$12</f>
        <v>0</v>
      </c>
      <c r="L57" s="355">
        <f>Input!$JV$12</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Input!$JW$12</f>
        <v>0</v>
      </c>
      <c r="E58" s="355">
        <f>Input!$JX$12</f>
        <v>1170058</v>
      </c>
      <c r="F58" s="355">
        <f>Input!$JY$12</f>
        <v>0</v>
      </c>
      <c r="G58" s="355">
        <f>Input!$JZ$12</f>
        <v>11402336</v>
      </c>
      <c r="H58" s="355">
        <f>Input!$KA$12</f>
        <v>0</v>
      </c>
      <c r="I58" s="355">
        <f>Input!$KB$12</f>
        <v>500000</v>
      </c>
      <c r="J58" s="355">
        <f>Input!$KC$12</f>
        <v>0</v>
      </c>
      <c r="K58" s="355">
        <f>Input!$KD$12</f>
        <v>0</v>
      </c>
      <c r="L58" s="355">
        <f>Input!$KE$12</f>
        <v>0</v>
      </c>
      <c r="M58" s="357">
        <f t="shared" si="9"/>
        <v>13072394</v>
      </c>
      <c r="O58" s="302"/>
      <c r="P58" s="50"/>
      <c r="Q58" s="50"/>
      <c r="R58" s="50"/>
      <c r="S58" s="50"/>
      <c r="T58" s="50"/>
      <c r="U58" s="50"/>
      <c r="V58" s="50"/>
      <c r="W58" s="50"/>
      <c r="X58" s="50"/>
      <c r="Y58" s="50"/>
      <c r="Z58" s="50"/>
      <c r="AA58" s="50"/>
      <c r="AB58" s="50"/>
    </row>
    <row r="59" spans="1:28" s="149" customFormat="1" ht="13.5" thickBot="1">
      <c r="A59" s="147">
        <v>42</v>
      </c>
      <c r="B59" s="149" t="s">
        <v>54</v>
      </c>
      <c r="D59" s="355">
        <f>Input!$KF$12</f>
        <v>8063194</v>
      </c>
      <c r="E59" s="355">
        <f>Input!$KG$12</f>
        <v>32638265</v>
      </c>
      <c r="F59" s="355">
        <f>Input!$KH$12</f>
        <v>0</v>
      </c>
      <c r="G59" s="355">
        <f>Input!$KI$12</f>
        <v>16453</v>
      </c>
      <c r="H59" s="355">
        <f>Input!$KJ$12</f>
        <v>0</v>
      </c>
      <c r="I59" s="355">
        <f>Input!$KK$12</f>
        <v>0</v>
      </c>
      <c r="J59" s="355">
        <f>Input!$KL$12</f>
        <v>0</v>
      </c>
      <c r="K59" s="355">
        <f>Input!$KM$12</f>
        <v>0</v>
      </c>
      <c r="L59" s="355">
        <f>Input!$KN$12</f>
        <v>0</v>
      </c>
      <c r="M59" s="357">
        <f t="shared" si="9"/>
        <v>40717912</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Input!$KO$12</f>
        <v>0</v>
      </c>
      <c r="E60" s="355">
        <f>Input!$KP$12</f>
        <v>0</v>
      </c>
      <c r="F60" s="355">
        <f>Input!$KQ$12</f>
        <v>1966031</v>
      </c>
      <c r="G60" s="355">
        <f>Input!$KR$12</f>
        <v>0</v>
      </c>
      <c r="H60" s="355">
        <f>Input!$KS$12</f>
        <v>0</v>
      </c>
      <c r="I60" s="355">
        <f>Input!$KT$12</f>
        <v>0</v>
      </c>
      <c r="J60" s="355">
        <f>Input!$KU$12</f>
        <v>0</v>
      </c>
      <c r="K60" s="355">
        <f>Input!$KV$12</f>
        <v>0</v>
      </c>
      <c r="L60" s="355">
        <f>Input!$KW$12</f>
        <v>0</v>
      </c>
      <c r="M60" s="357">
        <f t="shared" si="9"/>
        <v>1966031</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Input!$KX$12</f>
        <v>0</v>
      </c>
      <c r="E61" s="355">
        <f>Input!$KY$12</f>
        <v>6727511</v>
      </c>
      <c r="F61" s="355">
        <f>Input!$KZ$12</f>
        <v>30340</v>
      </c>
      <c r="G61" s="355">
        <f>Input!$LA$12</f>
        <v>1356519</v>
      </c>
      <c r="H61" s="355">
        <f>Input!$LB$12</f>
        <v>104841</v>
      </c>
      <c r="I61" s="355">
        <f>Input!$LC$12</f>
        <v>0</v>
      </c>
      <c r="J61" s="355">
        <f>Input!$LD$12</f>
        <v>0</v>
      </c>
      <c r="K61" s="355">
        <f>Input!$LE$12</f>
        <v>0</v>
      </c>
      <c r="L61" s="355">
        <f>Input!$LF$12</f>
        <v>3600637</v>
      </c>
      <c r="M61" s="357">
        <f t="shared" si="9"/>
        <v>11819848</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10267014</v>
      </c>
      <c r="E62" s="356">
        <f t="shared" si="10"/>
        <v>48761473</v>
      </c>
      <c r="F62" s="356">
        <f t="shared" si="10"/>
        <v>1996371</v>
      </c>
      <c r="G62" s="356">
        <f t="shared" si="10"/>
        <v>13101239</v>
      </c>
      <c r="H62" s="356">
        <f t="shared" si="10"/>
        <v>131540</v>
      </c>
      <c r="I62" s="356">
        <f t="shared" si="10"/>
        <v>992704</v>
      </c>
      <c r="J62" s="356">
        <f t="shared" si="10"/>
        <v>0</v>
      </c>
      <c r="K62" s="356">
        <f t="shared" si="10"/>
        <v>0</v>
      </c>
      <c r="L62" s="356">
        <f t="shared" si="10"/>
        <v>3600637</v>
      </c>
      <c r="M62" s="356">
        <f t="shared" si="9"/>
        <v>78850978</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189300811</v>
      </c>
      <c r="E63" s="356">
        <f t="shared" ref="E63:M63" si="11">E15+E44+E47+E50+E53+E62</f>
        <v>97904732</v>
      </c>
      <c r="F63" s="356">
        <f t="shared" si="11"/>
        <v>3102179</v>
      </c>
      <c r="G63" s="356">
        <f t="shared" si="11"/>
        <v>50131681</v>
      </c>
      <c r="H63" s="356">
        <f t="shared" si="11"/>
        <v>131540</v>
      </c>
      <c r="I63" s="356">
        <f t="shared" si="11"/>
        <v>992704</v>
      </c>
      <c r="J63" s="356">
        <f t="shared" si="11"/>
        <v>0</v>
      </c>
      <c r="K63" s="356">
        <f t="shared" si="11"/>
        <v>0</v>
      </c>
      <c r="L63" s="356">
        <f t="shared" si="11"/>
        <v>3600637</v>
      </c>
      <c r="M63" s="356">
        <f t="shared" si="11"/>
        <v>345164284</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Input!$LG$12</f>
        <v>85533437</v>
      </c>
      <c r="E65" s="355">
        <f>Input!$LH$12</f>
        <v>27142893</v>
      </c>
      <c r="F65" s="355">
        <f>Input!$LI$12</f>
        <v>0</v>
      </c>
      <c r="G65" s="355">
        <f>Input!$LJ$12</f>
        <v>2379161</v>
      </c>
      <c r="H65" s="355">
        <f>Input!$LK$12</f>
        <v>0</v>
      </c>
      <c r="I65" s="355">
        <f>Input!$LL$12</f>
        <v>0</v>
      </c>
      <c r="J65" s="355">
        <f>Input!$LM$12</f>
        <v>0</v>
      </c>
      <c r="K65" s="355">
        <f>Input!$LN$12</f>
        <v>0</v>
      </c>
      <c r="L65" s="355">
        <f>Input!$LO$12</f>
        <v>0</v>
      </c>
      <c r="M65" s="357">
        <f t="shared" ref="M65:M77" si="12">D65+E65+F65+G65+H65+I65+J65+K65+L65</f>
        <v>115055491</v>
      </c>
      <c r="O65" s="310">
        <f>D65+E65+G65</f>
        <v>115055491</v>
      </c>
      <c r="P65" s="311">
        <f>Input!$TK$12</f>
        <v>739919</v>
      </c>
      <c r="Q65" s="311">
        <f>Input!$TU$12</f>
        <v>12691</v>
      </c>
      <c r="R65" s="311">
        <f>Input!$UD$12</f>
        <v>0</v>
      </c>
      <c r="S65" s="312">
        <f>O65+P65-Q65-R65</f>
        <v>115782719</v>
      </c>
      <c r="T65" s="313"/>
      <c r="U65" s="494">
        <f>D65+E65+F65+G65+J65</f>
        <v>115055491</v>
      </c>
      <c r="V65" s="313"/>
      <c r="W65" s="314" t="s">
        <v>14</v>
      </c>
      <c r="X65" s="487">
        <f>Input!$UO$12</f>
        <v>115055491</v>
      </c>
      <c r="Y65" s="315">
        <f t="shared" ref="Y65:Y74" si="13">X65-M65</f>
        <v>0</v>
      </c>
      <c r="Z65" s="313"/>
      <c r="AA65" s="313"/>
      <c r="AB65" s="313"/>
    </row>
    <row r="66" spans="1:28" s="149" customFormat="1" ht="14.25" thickTop="1" thickBot="1">
      <c r="A66" s="147">
        <v>49</v>
      </c>
      <c r="B66" s="161" t="s">
        <v>15</v>
      </c>
      <c r="C66" s="161"/>
      <c r="D66" s="355">
        <f>Input!$LP$12</f>
        <v>17161292</v>
      </c>
      <c r="E66" s="355">
        <f>Input!$LQ$12</f>
        <v>11443799</v>
      </c>
      <c r="F66" s="355">
        <f>Input!$LR$12</f>
        <v>0</v>
      </c>
      <c r="G66" s="355">
        <f>Input!$LS$12</f>
        <v>41285557</v>
      </c>
      <c r="H66" s="355">
        <f>Input!$LT$12</f>
        <v>0</v>
      </c>
      <c r="I66" s="355">
        <f>Input!$LU$12</f>
        <v>0</v>
      </c>
      <c r="J66" s="355">
        <f>Input!$LV$12</f>
        <v>99266</v>
      </c>
      <c r="K66" s="355">
        <f>Input!$LW$12</f>
        <v>0</v>
      </c>
      <c r="L66" s="355">
        <f>Input!$LX$12</f>
        <v>0</v>
      </c>
      <c r="M66" s="357">
        <f t="shared" si="12"/>
        <v>69989914</v>
      </c>
      <c r="O66" s="316">
        <f t="shared" ref="O66:O72" si="14">D66+E66+G66</f>
        <v>69890648</v>
      </c>
      <c r="P66" s="317">
        <f>Input!$TL$12</f>
        <v>1612603</v>
      </c>
      <c r="Q66" s="317">
        <f>Input!$TV$12</f>
        <v>2009103</v>
      </c>
      <c r="R66" s="317">
        <f>Input!$UE$12</f>
        <v>574902</v>
      </c>
      <c r="S66" s="318">
        <f>O66+P66-Q66-R66</f>
        <v>68919246</v>
      </c>
      <c r="T66" s="313"/>
      <c r="U66" s="495">
        <f t="shared" ref="U66:U76" si="15">D66+E66+F66+G66+J66</f>
        <v>69989914</v>
      </c>
      <c r="V66" s="313"/>
      <c r="W66" s="314" t="s">
        <v>15</v>
      </c>
      <c r="X66" s="363">
        <f>Input!$UP$12</f>
        <v>69989914</v>
      </c>
      <c r="Y66" s="319">
        <f t="shared" si="13"/>
        <v>0</v>
      </c>
      <c r="Z66" s="320"/>
      <c r="AA66" s="320"/>
      <c r="AB66" s="320"/>
    </row>
    <row r="67" spans="1:28" s="149" customFormat="1" ht="13.5" thickTop="1">
      <c r="A67" s="147">
        <v>50</v>
      </c>
      <c r="B67" s="161" t="s">
        <v>16</v>
      </c>
      <c r="C67" s="161"/>
      <c r="D67" s="355">
        <f>Input!$LY$12</f>
        <v>3632489</v>
      </c>
      <c r="E67" s="355">
        <f>Input!$LZ$12</f>
        <v>5553130</v>
      </c>
      <c r="F67" s="355">
        <f>Input!$MA$12</f>
        <v>0</v>
      </c>
      <c r="G67" s="355">
        <f>Input!$MB$12</f>
        <v>2121794</v>
      </c>
      <c r="H67" s="355">
        <f>Input!$MC$12</f>
        <v>0</v>
      </c>
      <c r="I67" s="355">
        <f>Input!$MD$12</f>
        <v>0</v>
      </c>
      <c r="J67" s="355">
        <f>Input!$ME$12</f>
        <v>0</v>
      </c>
      <c r="K67" s="355">
        <f>Input!$MF$12</f>
        <v>0</v>
      </c>
      <c r="L67" s="355">
        <f>Input!$MG$12</f>
        <v>0</v>
      </c>
      <c r="M67" s="357">
        <f t="shared" si="12"/>
        <v>11307413</v>
      </c>
      <c r="O67" s="316">
        <f t="shared" si="14"/>
        <v>11307413</v>
      </c>
      <c r="P67" s="317">
        <f>Input!$TM$12</f>
        <v>278099</v>
      </c>
      <c r="Q67" s="317">
        <f>Input!$TW$12</f>
        <v>0</v>
      </c>
      <c r="R67" s="317">
        <f>Input!$UF$12</f>
        <v>0</v>
      </c>
      <c r="S67" s="321">
        <f t="shared" ref="S67:S72" si="16">O67+P67-Q67-R67</f>
        <v>11585512</v>
      </c>
      <c r="T67" s="320"/>
      <c r="U67" s="495">
        <f t="shared" si="15"/>
        <v>11307413</v>
      </c>
      <c r="V67" s="320"/>
      <c r="W67" s="314" t="s">
        <v>16</v>
      </c>
      <c r="X67" s="363">
        <f>Input!$UQ$12</f>
        <v>11307413</v>
      </c>
      <c r="Y67" s="319">
        <f t="shared" si="13"/>
        <v>0</v>
      </c>
      <c r="Z67" s="320"/>
      <c r="AA67" s="320"/>
      <c r="AB67" s="320"/>
    </row>
    <row r="68" spans="1:28" s="149" customFormat="1">
      <c r="A68" s="147">
        <v>51</v>
      </c>
      <c r="B68" s="161" t="s">
        <v>55</v>
      </c>
      <c r="C68" s="161"/>
      <c r="D68" s="355">
        <f>Input!$MH$12</f>
        <v>0</v>
      </c>
      <c r="E68" s="355">
        <f>Input!$MI$12</f>
        <v>0</v>
      </c>
      <c r="F68" s="355">
        <f>Input!$MJ$12</f>
        <v>0</v>
      </c>
      <c r="G68" s="355">
        <f>Input!$MK$12</f>
        <v>0</v>
      </c>
      <c r="H68" s="355">
        <f>Input!$ML$12</f>
        <v>0</v>
      </c>
      <c r="I68" s="355">
        <f>Input!$MM$12</f>
        <v>0</v>
      </c>
      <c r="J68" s="355">
        <f>Input!$MN$12</f>
        <v>0</v>
      </c>
      <c r="K68" s="355">
        <f>Input!$MO$12</f>
        <v>0</v>
      </c>
      <c r="L68" s="355">
        <f>Input!$MP$12</f>
        <v>0</v>
      </c>
      <c r="M68" s="357">
        <f t="shared" si="12"/>
        <v>0</v>
      </c>
      <c r="O68" s="316">
        <f t="shared" si="14"/>
        <v>0</v>
      </c>
      <c r="P68" s="317">
        <f>Input!$TN$12</f>
        <v>0</v>
      </c>
      <c r="Q68" s="317">
        <f>Input!$TX$12</f>
        <v>0</v>
      </c>
      <c r="R68" s="317">
        <f>Input!$UG$12</f>
        <v>0</v>
      </c>
      <c r="S68" s="321">
        <f t="shared" si="16"/>
        <v>0</v>
      </c>
      <c r="T68" s="320"/>
      <c r="U68" s="495">
        <f t="shared" si="15"/>
        <v>0</v>
      </c>
      <c r="V68" s="320"/>
      <c r="W68" s="314" t="s">
        <v>55</v>
      </c>
      <c r="X68" s="363">
        <f>Input!$UR$12</f>
        <v>0</v>
      </c>
      <c r="Y68" s="319">
        <f t="shared" si="13"/>
        <v>0</v>
      </c>
      <c r="Z68" s="320"/>
      <c r="AA68" s="320"/>
      <c r="AB68" s="320"/>
    </row>
    <row r="69" spans="1:28" s="149" customFormat="1">
      <c r="A69" s="147">
        <v>52</v>
      </c>
      <c r="B69" s="161" t="s">
        <v>17</v>
      </c>
      <c r="C69" s="161"/>
      <c r="D69" s="355">
        <f>Input!$MQ$12</f>
        <v>26053140</v>
      </c>
      <c r="E69" s="355">
        <f>Input!$MR$12</f>
        <v>6701475</v>
      </c>
      <c r="F69" s="355">
        <f>Input!$MS$12</f>
        <v>0</v>
      </c>
      <c r="G69" s="355">
        <f>Input!$MT$12</f>
        <v>367794</v>
      </c>
      <c r="H69" s="355">
        <f>Input!$MU$12</f>
        <v>0</v>
      </c>
      <c r="I69" s="355">
        <f>Input!$MV$12</f>
        <v>0</v>
      </c>
      <c r="J69" s="355">
        <f>Input!$MW$12</f>
        <v>0</v>
      </c>
      <c r="K69" s="355">
        <f>Input!$MX$12</f>
        <v>0</v>
      </c>
      <c r="L69" s="355">
        <f>Input!$MY$12</f>
        <v>0</v>
      </c>
      <c r="M69" s="357">
        <f t="shared" si="12"/>
        <v>33122409</v>
      </c>
      <c r="O69" s="316">
        <f t="shared" si="14"/>
        <v>33122409</v>
      </c>
      <c r="P69" s="317">
        <f>Input!$TO$12</f>
        <v>562793</v>
      </c>
      <c r="Q69" s="317">
        <f>Input!$TY$12</f>
        <v>0</v>
      </c>
      <c r="R69" s="317">
        <f>Input!$UH$12</f>
        <v>0</v>
      </c>
      <c r="S69" s="321">
        <f t="shared" si="16"/>
        <v>33685202</v>
      </c>
      <c r="T69" s="320"/>
      <c r="U69" s="495">
        <f t="shared" si="15"/>
        <v>33122409</v>
      </c>
      <c r="V69" s="320"/>
      <c r="W69" s="314" t="s">
        <v>17</v>
      </c>
      <c r="X69" s="363">
        <f>Input!$US$12</f>
        <v>33122409</v>
      </c>
      <c r="Y69" s="319">
        <f t="shared" si="13"/>
        <v>0</v>
      </c>
      <c r="Z69" s="320"/>
      <c r="AA69" s="320"/>
      <c r="AB69" s="320"/>
    </row>
    <row r="70" spans="1:28" s="149" customFormat="1">
      <c r="A70" s="147">
        <v>53</v>
      </c>
      <c r="B70" s="161" t="s">
        <v>18</v>
      </c>
      <c r="C70" s="161"/>
      <c r="D70" s="355">
        <f>Input!$MZ$12</f>
        <v>3126621</v>
      </c>
      <c r="E70" s="355">
        <f>Input!$NA$12</f>
        <v>2242142</v>
      </c>
      <c r="F70" s="355">
        <f>Input!$NB$12</f>
        <v>0</v>
      </c>
      <c r="G70" s="355">
        <f>Input!$NC$12</f>
        <v>70881</v>
      </c>
      <c r="H70" s="355">
        <f>Input!$ND$12</f>
        <v>-471</v>
      </c>
      <c r="I70" s="355">
        <f>Input!$NE$12</f>
        <v>0</v>
      </c>
      <c r="J70" s="355">
        <f>Input!$NF$12</f>
        <v>0</v>
      </c>
      <c r="K70" s="355">
        <f>Input!$NG$12</f>
        <v>0</v>
      </c>
      <c r="L70" s="355">
        <f>Input!$NH$12</f>
        <v>0</v>
      </c>
      <c r="M70" s="357">
        <f t="shared" si="12"/>
        <v>5439173</v>
      </c>
      <c r="O70" s="316">
        <f t="shared" si="14"/>
        <v>5439644</v>
      </c>
      <c r="P70" s="317">
        <f>Input!$TP$12</f>
        <v>0</v>
      </c>
      <c r="Q70" s="317">
        <f>Input!$TZ$12</f>
        <v>0</v>
      </c>
      <c r="R70" s="317">
        <f>Input!$UI$12</f>
        <v>0</v>
      </c>
      <c r="S70" s="321">
        <f t="shared" si="16"/>
        <v>5439644</v>
      </c>
      <c r="T70" s="320"/>
      <c r="U70" s="495">
        <f t="shared" si="15"/>
        <v>5439644</v>
      </c>
      <c r="V70" s="320"/>
      <c r="W70" s="314" t="s">
        <v>18</v>
      </c>
      <c r="X70" s="363">
        <f>Input!$UT$12</f>
        <v>5439173</v>
      </c>
      <c r="Y70" s="319">
        <f t="shared" si="13"/>
        <v>0</v>
      </c>
      <c r="Z70" s="320"/>
      <c r="AA70" s="320"/>
      <c r="AB70" s="320"/>
    </row>
    <row r="71" spans="1:28" s="149" customFormat="1">
      <c r="A71" s="147">
        <v>54</v>
      </c>
      <c r="B71" s="161" t="s">
        <v>19</v>
      </c>
      <c r="C71" s="161"/>
      <c r="D71" s="355">
        <f>Input!$NI$12</f>
        <v>11530555</v>
      </c>
      <c r="E71" s="355">
        <f>Input!$NJ$12</f>
        <v>2803104</v>
      </c>
      <c r="F71" s="355">
        <f>Input!$NK$12</f>
        <v>0</v>
      </c>
      <c r="G71" s="355">
        <f>Input!$NL$12</f>
        <v>89729</v>
      </c>
      <c r="H71" s="355">
        <f>Input!$NM$12</f>
        <v>0</v>
      </c>
      <c r="I71" s="355">
        <f>Input!$NN$12</f>
        <v>0</v>
      </c>
      <c r="J71" s="355">
        <f>Input!$NO$12</f>
        <v>0</v>
      </c>
      <c r="K71" s="355">
        <f>Input!$NP$12</f>
        <v>0</v>
      </c>
      <c r="L71" s="355">
        <f>Input!$NQ$12</f>
        <v>0</v>
      </c>
      <c r="M71" s="357">
        <f t="shared" si="12"/>
        <v>14423388</v>
      </c>
      <c r="O71" s="316">
        <f t="shared" si="14"/>
        <v>14423388</v>
      </c>
      <c r="P71" s="317">
        <f>Input!$TQ$12</f>
        <v>110574</v>
      </c>
      <c r="Q71" s="317">
        <f>Input!$UA$12</f>
        <v>0</v>
      </c>
      <c r="R71" s="317">
        <f>Input!$UJ$12</f>
        <v>0</v>
      </c>
      <c r="S71" s="321">
        <f t="shared" si="16"/>
        <v>14533962</v>
      </c>
      <c r="T71" s="320"/>
      <c r="U71" s="495">
        <f t="shared" si="15"/>
        <v>14423388</v>
      </c>
      <c r="V71" s="320"/>
      <c r="W71" s="314" t="s">
        <v>19</v>
      </c>
      <c r="X71" s="363">
        <f>Input!$UU$12</f>
        <v>14423388</v>
      </c>
      <c r="Y71" s="319">
        <f t="shared" si="13"/>
        <v>0</v>
      </c>
      <c r="Z71" s="320"/>
      <c r="AA71" s="320"/>
      <c r="AB71" s="320"/>
    </row>
    <row r="72" spans="1:28" s="149" customFormat="1">
      <c r="A72" s="147">
        <v>55</v>
      </c>
      <c r="B72" s="161" t="s">
        <v>20</v>
      </c>
      <c r="C72" s="161"/>
      <c r="D72" s="355">
        <f>Input!$NR$12</f>
        <v>11061680</v>
      </c>
      <c r="E72" s="355">
        <f>Input!$NS$12</f>
        <v>12362296</v>
      </c>
      <c r="F72" s="355">
        <f>Input!$NT$12</f>
        <v>0</v>
      </c>
      <c r="G72" s="355">
        <f>Input!$NU$12</f>
        <v>2027</v>
      </c>
      <c r="H72" s="355">
        <f>Input!$NV$12</f>
        <v>0</v>
      </c>
      <c r="I72" s="355">
        <f>Input!$NW$12</f>
        <v>0</v>
      </c>
      <c r="J72" s="355">
        <f>Input!$NX$12</f>
        <v>168250</v>
      </c>
      <c r="K72" s="355">
        <f>Input!$NY$12</f>
        <v>0</v>
      </c>
      <c r="L72" s="355">
        <f>Input!$NZ$12</f>
        <v>0</v>
      </c>
      <c r="M72" s="357">
        <f t="shared" si="12"/>
        <v>23594253</v>
      </c>
      <c r="O72" s="316">
        <f t="shared" si="14"/>
        <v>23426003</v>
      </c>
      <c r="P72" s="317">
        <f>Input!$TR$12</f>
        <v>182747</v>
      </c>
      <c r="Q72" s="317">
        <f>Input!$UB$12</f>
        <v>0</v>
      </c>
      <c r="R72" s="317">
        <f>Input!$UK$12</f>
        <v>0</v>
      </c>
      <c r="S72" s="321">
        <f t="shared" si="16"/>
        <v>23608750</v>
      </c>
      <c r="T72" s="320"/>
      <c r="U72" s="495">
        <f t="shared" si="15"/>
        <v>23594253</v>
      </c>
      <c r="V72" s="320"/>
      <c r="W72" s="314" t="s">
        <v>184</v>
      </c>
      <c r="X72" s="363">
        <f>Input!$UV$12</f>
        <v>23594253</v>
      </c>
      <c r="Y72" s="319">
        <f t="shared" si="13"/>
        <v>0</v>
      </c>
      <c r="Z72" s="320"/>
      <c r="AA72" s="320"/>
      <c r="AB72" s="320"/>
    </row>
    <row r="73" spans="1:28" s="149" customFormat="1" ht="13.5" thickBot="1">
      <c r="A73" s="147">
        <v>56</v>
      </c>
      <c r="B73" s="161" t="s">
        <v>21</v>
      </c>
      <c r="C73" s="161"/>
      <c r="D73" s="355">
        <f>Input!$OA$12</f>
        <v>160070</v>
      </c>
      <c r="E73" s="355">
        <f>Input!$OB$12</f>
        <v>1477962</v>
      </c>
      <c r="F73" s="355">
        <f>Input!$OC$12</f>
        <v>0</v>
      </c>
      <c r="G73" s="355">
        <f>Input!$OD$12</f>
        <v>414643</v>
      </c>
      <c r="H73" s="355">
        <f>Input!$OE$12</f>
        <v>0</v>
      </c>
      <c r="I73" s="355">
        <f>Input!$OF$12</f>
        <v>0</v>
      </c>
      <c r="J73" s="355">
        <f>Input!$OG$12</f>
        <v>0</v>
      </c>
      <c r="K73" s="355">
        <f>Input!$OH$12</f>
        <v>0</v>
      </c>
      <c r="L73" s="355">
        <f>Input!$OI$12</f>
        <v>0</v>
      </c>
      <c r="M73" s="357">
        <f t="shared" si="12"/>
        <v>2052675</v>
      </c>
      <c r="O73" s="322">
        <f>D73+E73+G73</f>
        <v>2052675</v>
      </c>
      <c r="P73" s="317">
        <f>Input!$TS$12</f>
        <v>0</v>
      </c>
      <c r="Q73" s="323">
        <f>Input!$UC$12</f>
        <v>0</v>
      </c>
      <c r="R73" s="323">
        <f>Input!$UL$12</f>
        <v>0</v>
      </c>
      <c r="S73" s="324">
        <f>O73+P73-Q73-R73</f>
        <v>2052675</v>
      </c>
      <c r="T73" s="325"/>
      <c r="U73" s="495">
        <f t="shared" si="15"/>
        <v>2052675</v>
      </c>
      <c r="V73" s="325"/>
      <c r="W73" s="314" t="s">
        <v>21</v>
      </c>
      <c r="X73" s="363">
        <f>Input!$UW$12</f>
        <v>2052675</v>
      </c>
      <c r="Y73" s="319">
        <f t="shared" si="13"/>
        <v>0</v>
      </c>
      <c r="Z73" s="320"/>
      <c r="AA73" s="320"/>
      <c r="AB73" s="320"/>
    </row>
    <row r="74" spans="1:28" s="149" customFormat="1" ht="13.5" thickTop="1">
      <c r="A74" s="147">
        <v>57</v>
      </c>
      <c r="B74" s="161" t="s">
        <v>1363</v>
      </c>
      <c r="C74" s="161"/>
      <c r="D74" s="355">
        <f>Input!$OJ$12</f>
        <v>0</v>
      </c>
      <c r="E74" s="355">
        <f>Input!$OK$12</f>
        <v>0</v>
      </c>
      <c r="F74" s="355">
        <f>Input!$OL$12</f>
        <v>2615622</v>
      </c>
      <c r="G74" s="355">
        <f>Input!$OM$12</f>
        <v>0</v>
      </c>
      <c r="H74" s="355">
        <f>Input!$ON$12</f>
        <v>0</v>
      </c>
      <c r="I74" s="355">
        <f>Input!$OO$12</f>
        <v>0</v>
      </c>
      <c r="J74" s="355">
        <f>Input!$OP$12</f>
        <v>0</v>
      </c>
      <c r="K74" s="355">
        <f>Input!$OQ$12</f>
        <v>0</v>
      </c>
      <c r="L74" s="355">
        <f>Input!$OR$12</f>
        <v>0</v>
      </c>
      <c r="M74" s="357">
        <f t="shared" si="12"/>
        <v>2615622</v>
      </c>
      <c r="O74" s="326"/>
      <c r="P74" s="858">
        <f>Input!$TT$12</f>
        <v>277401</v>
      </c>
      <c r="Q74" s="327"/>
      <c r="R74" s="328"/>
      <c r="S74" s="329">
        <f>SUM(S65:S73)</f>
        <v>275607710</v>
      </c>
      <c r="T74" s="328"/>
      <c r="U74" s="495">
        <f t="shared" si="15"/>
        <v>2615622</v>
      </c>
      <c r="V74" s="328"/>
      <c r="W74" s="314" t="s">
        <v>22</v>
      </c>
      <c r="X74" s="363">
        <f>Input!$UX$12</f>
        <v>2615622</v>
      </c>
      <c r="Y74" s="319">
        <f t="shared" si="13"/>
        <v>0</v>
      </c>
      <c r="Z74" s="320"/>
      <c r="AA74" s="320"/>
      <c r="AB74" s="320"/>
    </row>
    <row r="75" spans="1:28" s="149" customFormat="1">
      <c r="A75" s="147">
        <v>58</v>
      </c>
      <c r="B75" s="162" t="s">
        <v>62</v>
      </c>
      <c r="C75" s="162"/>
      <c r="D75" s="355">
        <f>Input!$OS$12</f>
        <v>532683</v>
      </c>
      <c r="E75" s="355">
        <f>Input!$OT$12</f>
        <v>2583751</v>
      </c>
      <c r="F75" s="355">
        <f>Input!$OU$12</f>
        <v>277401</v>
      </c>
      <c r="G75" s="355">
        <f>Input!$OV$12</f>
        <v>370301</v>
      </c>
      <c r="H75" s="355">
        <f>Input!$OW$12</f>
        <v>0</v>
      </c>
      <c r="I75" s="355">
        <f>Input!$OX$12</f>
        <v>0</v>
      </c>
      <c r="J75" s="355">
        <f>Input!$OY$12</f>
        <v>0</v>
      </c>
      <c r="K75" s="355">
        <f>Input!$OZ$12</f>
        <v>0</v>
      </c>
      <c r="L75" s="355">
        <f>Input!$PA$12</f>
        <v>0</v>
      </c>
      <c r="M75" s="357">
        <f t="shared" si="12"/>
        <v>3764136</v>
      </c>
      <c r="O75" s="326"/>
      <c r="P75" s="326">
        <f>SUM(P65:P74)</f>
        <v>3764136</v>
      </c>
      <c r="Q75" s="327" t="s">
        <v>185</v>
      </c>
      <c r="R75" s="328"/>
      <c r="S75" s="330"/>
      <c r="T75" s="328"/>
      <c r="U75" s="495">
        <f t="shared" si="15"/>
        <v>3764136</v>
      </c>
      <c r="V75" s="328"/>
      <c r="W75" s="314" t="s">
        <v>186</v>
      </c>
      <c r="X75" s="331">
        <f>M93*-1</f>
        <v>18171446</v>
      </c>
      <c r="Y75" s="319">
        <f>X75+M93</f>
        <v>0</v>
      </c>
      <c r="Z75" s="332"/>
      <c r="AA75" s="332"/>
      <c r="AB75" s="332"/>
    </row>
    <row r="76" spans="1:28" s="149" customFormat="1" ht="13.5" thickBot="1">
      <c r="A76" s="147">
        <v>59</v>
      </c>
      <c r="B76" s="163" t="s">
        <v>42</v>
      </c>
      <c r="C76" s="163"/>
      <c r="D76" s="359">
        <f>Input!$PB$12</f>
        <v>0</v>
      </c>
      <c r="E76" s="359">
        <f>Input!$PC$12</f>
        <v>548691</v>
      </c>
      <c r="F76" s="359">
        <f>Input!$PD$12</f>
        <v>0</v>
      </c>
      <c r="G76" s="359">
        <f>Input!$PE$12</f>
        <v>52043</v>
      </c>
      <c r="H76" s="359">
        <f>Input!$PF$12</f>
        <v>0</v>
      </c>
      <c r="I76" s="359">
        <f>Input!$PG$12</f>
        <v>0</v>
      </c>
      <c r="J76" s="359">
        <f>Input!$PH$12</f>
        <v>0</v>
      </c>
      <c r="K76" s="359">
        <f>Input!$PI$12</f>
        <v>0</v>
      </c>
      <c r="L76" s="359">
        <f>Input!$PJ$12</f>
        <v>271011</v>
      </c>
      <c r="M76" s="357">
        <f t="shared" si="12"/>
        <v>871745</v>
      </c>
      <c r="O76" s="326"/>
      <c r="P76" s="484" t="str">
        <f>IF(P75&lt;&gt;M75,"Out of Balance","Balanced")</f>
        <v>Balanced</v>
      </c>
      <c r="Q76" s="1322" t="s">
        <v>187</v>
      </c>
      <c r="R76" s="1323"/>
      <c r="S76" s="412">
        <f>Input!$UM$12</f>
        <v>0</v>
      </c>
      <c r="T76" s="333"/>
      <c r="U76" s="496">
        <f t="shared" si="15"/>
        <v>600734</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158791967</v>
      </c>
      <c r="E77" s="356">
        <f t="shared" si="17"/>
        <v>72859243</v>
      </c>
      <c r="F77" s="356">
        <f t="shared" si="17"/>
        <v>2893023</v>
      </c>
      <c r="G77" s="356">
        <f t="shared" si="17"/>
        <v>47153930</v>
      </c>
      <c r="H77" s="356">
        <f t="shared" si="17"/>
        <v>-471</v>
      </c>
      <c r="I77" s="356">
        <f t="shared" si="17"/>
        <v>0</v>
      </c>
      <c r="J77" s="356">
        <f t="shared" si="17"/>
        <v>267516</v>
      </c>
      <c r="K77" s="356">
        <f t="shared" si="17"/>
        <v>0</v>
      </c>
      <c r="L77" s="356">
        <f t="shared" si="17"/>
        <v>271011</v>
      </c>
      <c r="M77" s="356">
        <f t="shared" si="12"/>
        <v>282236219</v>
      </c>
      <c r="O77" s="50"/>
      <c r="P77" s="326"/>
      <c r="Q77" s="334" t="s">
        <v>188</v>
      </c>
      <c r="R77" s="335"/>
      <c r="S77" s="413">
        <f>Input!$UN$12</f>
        <v>0</v>
      </c>
      <c r="T77" s="336"/>
      <c r="U77" s="497">
        <f>SUM(U65:U76)</f>
        <v>281965679</v>
      </c>
      <c r="V77" s="336"/>
      <c r="W77" s="336"/>
      <c r="X77" s="337">
        <f>SUM(X65:X76)</f>
        <v>295771784</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275607710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Input!$PK$12</f>
        <v>0</v>
      </c>
      <c r="E80" s="355">
        <f>Input!$PL$12</f>
        <v>0</v>
      </c>
      <c r="F80" s="355">
        <f>Input!$PM$12</f>
        <v>0</v>
      </c>
      <c r="G80" s="355">
        <f>Input!$PN$12</f>
        <v>0</v>
      </c>
      <c r="H80" s="355">
        <f>Input!$PO$12</f>
        <v>0</v>
      </c>
      <c r="I80" s="355">
        <f>Input!$PP$12</f>
        <v>0</v>
      </c>
      <c r="J80" s="355">
        <f>Input!$PQ$12</f>
        <v>-157046</v>
      </c>
      <c r="K80" s="355">
        <f>Input!$PR$12</f>
        <v>0</v>
      </c>
      <c r="L80" s="355">
        <f>Input!$PS$12</f>
        <v>0</v>
      </c>
      <c r="M80" s="357">
        <f>D80+E80+F80+G80+H80+I80+J80+K80+L80</f>
        <v>-157046</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Input!$PT$12</f>
        <v>749698</v>
      </c>
      <c r="E81" s="355">
        <f>Input!$PU$12</f>
        <v>-11572614</v>
      </c>
      <c r="F81" s="355">
        <f>Input!$PV$12</f>
        <v>115888</v>
      </c>
      <c r="G81" s="355">
        <f>Input!$PW$12</f>
        <v>257261</v>
      </c>
      <c r="H81" s="355">
        <f>Input!$PX$12</f>
        <v>0</v>
      </c>
      <c r="I81" s="355">
        <f>Input!$PY$12</f>
        <v>785409</v>
      </c>
      <c r="J81" s="355">
        <f>Input!$PZ$12</f>
        <v>429342</v>
      </c>
      <c r="K81" s="355">
        <f>Input!$QA$12</f>
        <v>0</v>
      </c>
      <c r="L81" s="355">
        <f>Input!$QB$12</f>
        <v>0</v>
      </c>
      <c r="M81" s="357">
        <f>D81+E81+F81+G81+H81+I81+J81+K81+L81</f>
        <v>-9235016</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Input!$QL$12</f>
        <v>-21011959</v>
      </c>
      <c r="E83" s="355">
        <f>Input!$QM$12</f>
        <v>-601285</v>
      </c>
      <c r="F83" s="355">
        <f>Input!$QN$12</f>
        <v>0</v>
      </c>
      <c r="G83" s="355">
        <f>Input!$QO$12</f>
        <v>0</v>
      </c>
      <c r="H83" s="355">
        <f>Input!$QP$12</f>
        <v>0</v>
      </c>
      <c r="I83" s="355">
        <f>Input!$QQ$12</f>
        <v>0</v>
      </c>
      <c r="J83" s="355">
        <f>Input!$QR$12</f>
        <v>0</v>
      </c>
      <c r="K83" s="355">
        <f>Input!$QS$12</f>
        <v>0</v>
      </c>
      <c r="L83" s="355">
        <f>Input!$QT$12</f>
        <v>0</v>
      </c>
      <c r="M83" s="357">
        <f>D83+E83+F83+G83+H83+I83+J83+K83+L83</f>
        <v>-21613244</v>
      </c>
      <c r="O83" s="346"/>
      <c r="P83" s="458" t="s">
        <v>596</v>
      </c>
      <c r="Q83" s="459"/>
      <c r="R83" s="460"/>
      <c r="S83" s="461">
        <f>IF(M91&lt;0,"N/A",M91)</f>
        <v>36593181</v>
      </c>
      <c r="T83" s="326"/>
      <c r="U83" s="343"/>
      <c r="V83" s="305"/>
      <c r="W83" s="305"/>
      <c r="X83" s="343"/>
      <c r="Y83" s="343"/>
      <c r="Z83" s="305"/>
      <c r="AA83" s="305"/>
      <c r="AB83" s="305"/>
    </row>
    <row r="84" spans="1:28" s="149" customFormat="1">
      <c r="A84" s="147">
        <v>67</v>
      </c>
      <c r="B84" s="164" t="s">
        <v>3</v>
      </c>
      <c r="C84" s="164"/>
      <c r="D84" s="356">
        <f t="shared" ref="D84:L84" si="18">SUM(D80:D83)</f>
        <v>-20262261</v>
      </c>
      <c r="E84" s="356">
        <f t="shared" si="18"/>
        <v>-12173899</v>
      </c>
      <c r="F84" s="356">
        <f t="shared" si="18"/>
        <v>115888</v>
      </c>
      <c r="G84" s="356">
        <f t="shared" si="18"/>
        <v>257261</v>
      </c>
      <c r="H84" s="356">
        <f t="shared" si="18"/>
        <v>0</v>
      </c>
      <c r="I84" s="356">
        <f t="shared" si="18"/>
        <v>785409</v>
      </c>
      <c r="J84" s="356">
        <f t="shared" si="18"/>
        <v>272296</v>
      </c>
      <c r="K84" s="356">
        <f t="shared" si="18"/>
        <v>0</v>
      </c>
      <c r="L84" s="356">
        <f t="shared" si="18"/>
        <v>0</v>
      </c>
      <c r="M84" s="356">
        <f>D84+E84+F84+G84+H84+I84+J84+K84+L84</f>
        <v>-31005306</v>
      </c>
      <c r="O84" s="346"/>
      <c r="P84" s="462" t="s">
        <v>597</v>
      </c>
      <c r="Q84" s="347"/>
      <c r="R84" s="347"/>
      <c r="S84" s="492">
        <f>Input!$UY$12</f>
        <v>31922759</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4670422</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Input!$QU$12</f>
        <v>-229985</v>
      </c>
      <c r="E87" s="355">
        <f>Input!$QV$12</f>
        <v>2224582</v>
      </c>
      <c r="F87" s="355">
        <f>Input!$QW$12</f>
        <v>0</v>
      </c>
      <c r="G87" s="355">
        <f>Input!$QX$12</f>
        <v>0</v>
      </c>
      <c r="H87" s="355">
        <f>Input!$QY$12</f>
        <v>0</v>
      </c>
      <c r="I87" s="355">
        <f>Input!$QZ$12</f>
        <v>2673825</v>
      </c>
      <c r="J87" s="355">
        <f>Input!$RA$12</f>
        <v>0</v>
      </c>
      <c r="K87" s="355">
        <f>Input!$RB$12</f>
        <v>0</v>
      </c>
      <c r="L87" s="355">
        <f>Input!$RC$12</f>
        <v>0</v>
      </c>
      <c r="M87" s="357">
        <f>D87+E87+F87+G87+H87+I87+J87+K87+L87</f>
        <v>4668422</v>
      </c>
      <c r="O87" s="51"/>
      <c r="P87" s="467" t="s">
        <v>599</v>
      </c>
      <c r="Q87" s="305"/>
      <c r="R87" s="347"/>
      <c r="S87" s="463">
        <f>Input!$UZ$12</f>
        <v>4668422</v>
      </c>
      <c r="T87" s="50"/>
      <c r="U87" s="50"/>
      <c r="V87" s="50"/>
      <c r="W87" s="305"/>
      <c r="X87" s="343"/>
      <c r="Y87" s="343"/>
      <c r="Z87" s="305"/>
      <c r="AA87" s="305"/>
      <c r="AB87" s="305"/>
    </row>
    <row r="88" spans="1:28" s="149" customFormat="1">
      <c r="A88" s="147">
        <v>71</v>
      </c>
      <c r="B88" s="149" t="s">
        <v>45</v>
      </c>
      <c r="D88" s="355">
        <f>Input!$RD$12</f>
        <v>0</v>
      </c>
      <c r="E88" s="355">
        <f>Input!$RE$12</f>
        <v>0</v>
      </c>
      <c r="F88" s="355">
        <f>Input!$RF$12</f>
        <v>0</v>
      </c>
      <c r="G88" s="355">
        <f>Input!$RG$12</f>
        <v>0</v>
      </c>
      <c r="H88" s="355">
        <f>Input!$RH$12</f>
        <v>0</v>
      </c>
      <c r="I88" s="355">
        <f>Input!$RI$12</f>
        <v>2000</v>
      </c>
      <c r="J88" s="355">
        <f>Input!$RJ$12</f>
        <v>0</v>
      </c>
      <c r="K88" s="355">
        <f>Input!$RK$12</f>
        <v>0</v>
      </c>
      <c r="L88" s="355">
        <f>Input!$RL$12</f>
        <v>0</v>
      </c>
      <c r="M88" s="357">
        <f>D88+E88+F88+G88+H88+I88+J88+K88+L88</f>
        <v>2000</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-229985</v>
      </c>
      <c r="E89" s="356">
        <f t="shared" si="19"/>
        <v>2224582</v>
      </c>
      <c r="F89" s="356">
        <f t="shared" si="19"/>
        <v>0</v>
      </c>
      <c r="G89" s="356">
        <f t="shared" si="19"/>
        <v>0</v>
      </c>
      <c r="H89" s="356">
        <f t="shared" si="19"/>
        <v>0</v>
      </c>
      <c r="I89" s="356">
        <f t="shared" si="19"/>
        <v>2675825</v>
      </c>
      <c r="J89" s="356">
        <f t="shared" si="19"/>
        <v>0</v>
      </c>
      <c r="K89" s="356">
        <f t="shared" si="19"/>
        <v>0</v>
      </c>
      <c r="L89" s="356">
        <f t="shared" si="19"/>
        <v>0</v>
      </c>
      <c r="M89" s="356">
        <f>D89+E89+F89+G89+H89+I89+J89+K89+L89</f>
        <v>4670422</v>
      </c>
      <c r="O89" s="51"/>
      <c r="P89" s="470" t="s">
        <v>601</v>
      </c>
      <c r="Q89" s="305"/>
      <c r="R89" s="305"/>
      <c r="S89" s="464">
        <f>IFERROR(S85-S87,"")</f>
        <v>2000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10016598</v>
      </c>
      <c r="E91" s="356">
        <f t="shared" si="20"/>
        <v>15096172</v>
      </c>
      <c r="F91" s="356">
        <f t="shared" si="20"/>
        <v>325044</v>
      </c>
      <c r="G91" s="356">
        <f t="shared" si="20"/>
        <v>3235012</v>
      </c>
      <c r="H91" s="356">
        <f t="shared" si="20"/>
        <v>132011</v>
      </c>
      <c r="I91" s="356">
        <f t="shared" si="20"/>
        <v>4453938</v>
      </c>
      <c r="J91" s="356">
        <f t="shared" si="20"/>
        <v>4780</v>
      </c>
      <c r="K91" s="356">
        <f t="shared" si="20"/>
        <v>0</v>
      </c>
      <c r="L91" s="356">
        <f>L63-L77+L84+L89</f>
        <v>3329626</v>
      </c>
      <c r="M91" s="356">
        <f>D91+E91+F91+G91+H91+I91+J91+K91+L91</f>
        <v>36593181</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Input!$RM$12</f>
        <v>0</v>
      </c>
      <c r="E93" s="355">
        <f>Input!$RN$12</f>
        <v>0</v>
      </c>
      <c r="F93" s="355">
        <f>Input!$RO$12</f>
        <v>0</v>
      </c>
      <c r="G93" s="355">
        <f>Input!$RP$12</f>
        <v>0</v>
      </c>
      <c r="H93" s="355">
        <f>Input!$RQ$12</f>
        <v>0</v>
      </c>
      <c r="I93" s="355">
        <f>Input!$RR$12</f>
        <v>0</v>
      </c>
      <c r="J93" s="355">
        <f>Input!$RS$12</f>
        <v>0</v>
      </c>
      <c r="K93" s="355">
        <f>Input!$RT$12</f>
        <v>0</v>
      </c>
      <c r="L93" s="355">
        <f>Input!$RU$12</f>
        <v>-18171446</v>
      </c>
      <c r="M93" s="357">
        <f>D93+E93+F93+G93+H93+I93+J93+K93+L93</f>
        <v>-18171446</v>
      </c>
      <c r="O93" s="299"/>
      <c r="P93" s="50"/>
      <c r="Q93" s="50"/>
      <c r="R93" s="50"/>
      <c r="S93" s="50"/>
      <c r="T93" s="50"/>
      <c r="U93" s="50"/>
      <c r="V93" s="50"/>
      <c r="W93" s="50"/>
      <c r="X93" s="50"/>
      <c r="Y93" s="50"/>
      <c r="Z93" s="50"/>
      <c r="AA93" s="50"/>
      <c r="AB93" s="50"/>
    </row>
    <row r="94" spans="1:28" s="149" customFormat="1">
      <c r="A94" s="147">
        <v>78</v>
      </c>
      <c r="B94" s="51" t="s">
        <v>94</v>
      </c>
      <c r="C94" s="51"/>
      <c r="D94" s="355">
        <f>Input!$RV$12</f>
        <v>0</v>
      </c>
      <c r="E94" s="355">
        <f>Input!$RW$12</f>
        <v>0</v>
      </c>
      <c r="F94" s="355">
        <f>Input!$RX$12</f>
        <v>0</v>
      </c>
      <c r="G94" s="355">
        <f>Input!$RY$12</f>
        <v>0</v>
      </c>
      <c r="H94" s="355">
        <f>Input!$RZ$12</f>
        <v>0</v>
      </c>
      <c r="I94" s="355">
        <f>Input!$SA$12</f>
        <v>0</v>
      </c>
      <c r="J94" s="355">
        <f>Input!$SB$12</f>
        <v>0</v>
      </c>
      <c r="K94" s="355">
        <f>Input!$SC$12</f>
        <v>0</v>
      </c>
      <c r="L94" s="355">
        <f>Input!$SD$12</f>
        <v>56155865</v>
      </c>
      <c r="M94" s="357">
        <f>D94+E94+F94+G94+H94+I94+J94+K94+L94</f>
        <v>56155865</v>
      </c>
      <c r="O94" s="348"/>
      <c r="P94" s="349"/>
      <c r="Q94" s="50"/>
      <c r="R94" s="50"/>
      <c r="S94" s="50"/>
      <c r="T94" s="50"/>
      <c r="U94" s="50"/>
      <c r="V94" s="50"/>
      <c r="W94" s="50"/>
      <c r="X94" s="50"/>
      <c r="Y94" s="50"/>
      <c r="Z94" s="50"/>
      <c r="AA94" s="50"/>
      <c r="AB94" s="50"/>
    </row>
    <row r="95" spans="1:28" s="149" customFormat="1">
      <c r="A95" s="147"/>
      <c r="B95" s="51" t="s">
        <v>103</v>
      </c>
      <c r="C95" s="51"/>
      <c r="D95" s="355">
        <f>Input!$SE$12</f>
        <v>0</v>
      </c>
      <c r="E95" s="355">
        <f>Input!$SF$12</f>
        <v>0</v>
      </c>
      <c r="F95" s="355">
        <f>Input!$SG$12</f>
        <v>0</v>
      </c>
      <c r="G95" s="355">
        <f>Input!$SH$12</f>
        <v>0</v>
      </c>
      <c r="H95" s="355">
        <f>Input!$SI$12</f>
        <v>0</v>
      </c>
      <c r="I95" s="355">
        <f>Input!$SJ$12</f>
        <v>0</v>
      </c>
      <c r="J95" s="355">
        <f>Input!$SK$12</f>
        <v>0</v>
      </c>
      <c r="K95" s="355">
        <f>Input!$SL$12</f>
        <v>0</v>
      </c>
      <c r="L95" s="355">
        <f>Input!$SM$12</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Input!$SN$12</f>
        <v>0</v>
      </c>
      <c r="E96" s="355">
        <f>Input!$SO$12</f>
        <v>0</v>
      </c>
      <c r="F96" s="355">
        <f>Input!$SP$12</f>
        <v>0</v>
      </c>
      <c r="G96" s="355">
        <f>Input!$SQ$12</f>
        <v>0</v>
      </c>
      <c r="H96" s="355">
        <f>Input!$SR$12</f>
        <v>0</v>
      </c>
      <c r="I96" s="355">
        <f>Input!$SS$12</f>
        <v>0</v>
      </c>
      <c r="J96" s="355">
        <f>Input!$ST$12</f>
        <v>0</v>
      </c>
      <c r="K96" s="355">
        <f>Input!$SU$12</f>
        <v>0</v>
      </c>
      <c r="L96" s="355">
        <f>Input!$SV$12</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Input!$SW$12</f>
        <v>532683</v>
      </c>
      <c r="E97" s="355">
        <f>Input!$SX$12</f>
        <v>2583751</v>
      </c>
      <c r="F97" s="355">
        <f>Input!$SY$12</f>
        <v>277401</v>
      </c>
      <c r="G97" s="355">
        <f>Input!$SZ$12</f>
        <v>521946</v>
      </c>
      <c r="H97" s="355">
        <f>Input!$TA$12</f>
        <v>0</v>
      </c>
      <c r="I97" s="355">
        <f>Input!$TB$12</f>
        <v>0</v>
      </c>
      <c r="J97" s="355">
        <f>Input!$TC$12</f>
        <v>157046</v>
      </c>
      <c r="K97" s="355">
        <f>Input!$TD$12</f>
        <v>0</v>
      </c>
      <c r="L97" s="355">
        <f>Input!$TE$12</f>
        <v>0</v>
      </c>
      <c r="M97" s="357">
        <f>D97+E97+F97+G97+H97+I97+J97+K97+L97</f>
        <v>4072827</v>
      </c>
      <c r="O97" s="1026"/>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10549281</v>
      </c>
      <c r="E98" s="360">
        <f t="shared" si="21"/>
        <v>17679923</v>
      </c>
      <c r="F98" s="360">
        <f t="shared" si="21"/>
        <v>602445</v>
      </c>
      <c r="G98" s="360">
        <f t="shared" si="21"/>
        <v>3756958</v>
      </c>
      <c r="H98" s="360">
        <f t="shared" si="21"/>
        <v>132011</v>
      </c>
      <c r="I98" s="360">
        <f t="shared" si="21"/>
        <v>4453938</v>
      </c>
      <c r="J98" s="360">
        <f t="shared" si="21"/>
        <v>161826</v>
      </c>
      <c r="K98" s="360">
        <f t="shared" si="21"/>
        <v>0</v>
      </c>
      <c r="L98" s="360">
        <f t="shared" si="21"/>
        <v>41314045</v>
      </c>
      <c r="M98" s="360">
        <f>SUM(M91:M97)</f>
        <v>78650427</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Input!$VC$12</f>
        <v>Monica Poehl</v>
      </c>
      <c r="Q103" s="1334"/>
      <c r="R103" s="1333" t="str">
        <f>Input!$VD$12</f>
        <v>979-458-6090</v>
      </c>
      <c r="S103" s="1334"/>
      <c r="T103" s="305"/>
      <c r="U103" s="1335" t="str">
        <f>HYPERLINK("Mailto:"&amp;Input!$VE$12,Input!$VE$12)</f>
        <v>mpoehl@tamus.edu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Input!$TF$12</f>
        <v>78650427</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IF($L$123&lt;&gt;Input!$F$12,"Out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325543507</v>
      </c>
      <c r="E110" s="357">
        <f>SUM($E$10:$E$14)+SUM($E$19:$E$28)+SUM($E$50)+$E$53+SUM($E$56:$E$61)+SUM($E$65:$E$76)+SUM($E$80:$E$83)+SUM($E$87:$E$88)+SUM($E$93:$E$97)+SUM($E$32:$E$41)+$E$47</f>
        <v>163398409</v>
      </c>
      <c r="F110" s="357">
        <f>SUM($F$10:$F$14)+SUM($F$19:$F$28)+SUM($F$50)+$F$53+SUM($F$56:$F$61)+SUM($F$65:$F$76)+SUM($F$80:$F$83)+SUM($F$87:$F$88)+SUM($F$93:$F$97)+SUM($F$32:$F$41)+$F$47</f>
        <v>6388491</v>
      </c>
      <c r="G110" s="357">
        <f>SUM($G$10:$G$14)+SUM($G$19:$G$28)+SUM($G$50)+$G$53+SUM($G$56:$G$61)+SUM($G$65:$G$76)+SUM($G$80:$G$83)+SUM($G$87:$G$88)+SUM($G$93:$G$97)+SUM($G$32:$G$41)+$G$47</f>
        <v>98064818</v>
      </c>
      <c r="H110" s="357">
        <f>SUM($H$10:$H$14)+SUM($H$19:$H$28)+SUM($H$50)+$H$53+SUM($H$56:$H$61)+SUM($H$65:$H$76)+SUM($H$80:$H$83)+SUM($H$87:$H$88)+SUM($H$93:$H$97)+SUM($H$32:$H$41)+$H$47</f>
        <v>131069</v>
      </c>
      <c r="I110" s="357">
        <f>SUM($I$10:$I$14)+SUM($I$19:$I$28)+SUM($I$50)+$I$53+SUM($I$56:$I$61)+SUM($I$65:$I$76)+SUM($I$80:$I$83)+SUM($I$87:$I$88)+SUM($I$93:$I$97)+SUM($I$32:$I$41)+$I$47</f>
        <v>4453938</v>
      </c>
      <c r="J110" s="357">
        <f>SUM($J$10:$J$14)+SUM($J$19:$J$28)+SUM($J$50)+$J$53+SUM($J$56:$J$61)+SUM($J$65:$J$76)+SUM($J$80:$J$83)+SUM($J$87:$J$88)+SUM($J$93:$J$97)+SUM($J$32:$J$41)+$J$47</f>
        <v>696858</v>
      </c>
      <c r="K110" s="357">
        <f>SUM($K$10:$K$14)+SUM($K$19:$K$28)+SUM($K$50)+$K$53+SUM($K$56:$K$61)+SUM($K$65:$K$76)+SUM($K$80:$K$83)+SUM($K$87:$K$88)+SUM($K$93:$K$97)+SUM($K$32:$K$41)+$K$47</f>
        <v>0</v>
      </c>
      <c r="L110" s="357">
        <f>SUM($L$10:$L$14)+SUM($L$19:$L$28)+SUM($L$50)+$L$53+SUM($L$56:$L$61)+SUM($L$65:$L$76)+SUM($L$80:$L$83)+SUM($L$87:$L$88)+SUM($L$93:$L$97)+SUM($L$32:$L$41)+$L$47</f>
        <v>41856067</v>
      </c>
      <c r="M110" s="51"/>
      <c r="O110" s="51"/>
    </row>
    <row r="111" spans="1:28" s="50" customFormat="1">
      <c r="A111" s="293"/>
      <c r="B111" s="51"/>
      <c r="C111" s="51"/>
      <c r="D111" s="51"/>
      <c r="E111" s="51"/>
      <c r="F111" s="51"/>
      <c r="G111" s="51"/>
      <c r="H111" s="51"/>
      <c r="I111" s="51"/>
      <c r="J111" s="51"/>
      <c r="K111" s="51"/>
      <c r="L111" s="357">
        <f>SUM($D$110:$L$110)</f>
        <v>640533157</v>
      </c>
      <c r="M111" s="51"/>
      <c r="O111" s="51"/>
    </row>
    <row r="112" spans="1:28" s="50" customFormat="1">
      <c r="A112" s="293"/>
      <c r="B112" s="51"/>
      <c r="C112" s="51"/>
      <c r="D112" s="51"/>
      <c r="E112" s="51"/>
      <c r="F112" s="51"/>
      <c r="G112" s="51"/>
      <c r="H112" s="51"/>
      <c r="I112" s="51"/>
      <c r="J112" s="51" t="s">
        <v>1249</v>
      </c>
      <c r="K112" s="51"/>
      <c r="L112" s="357">
        <f>$M$105</f>
        <v>78650427</v>
      </c>
      <c r="M112" s="51"/>
      <c r="O112" s="51"/>
    </row>
    <row r="113" spans="1:15" s="50" customFormat="1">
      <c r="A113" s="293"/>
      <c r="B113" s="51"/>
      <c r="C113" s="51"/>
      <c r="D113" s="51"/>
      <c r="E113" s="51"/>
      <c r="F113" s="51"/>
      <c r="G113" s="51"/>
      <c r="H113" s="51"/>
      <c r="I113" s="51"/>
      <c r="J113" s="51" t="s">
        <v>1250</v>
      </c>
      <c r="K113" s="51"/>
      <c r="L113" s="143">
        <f>$Q$32</f>
        <v>41911522</v>
      </c>
      <c r="M113" s="51"/>
      <c r="O113" s="51"/>
    </row>
    <row r="114" spans="1:15" s="50" customFormat="1">
      <c r="A114" s="293"/>
      <c r="B114" s="51"/>
      <c r="C114" s="51"/>
      <c r="D114" s="51"/>
      <c r="E114" s="51"/>
      <c r="F114" s="51"/>
      <c r="G114" s="51"/>
      <c r="H114" s="51"/>
      <c r="I114" s="51"/>
      <c r="J114" s="51" t="s">
        <v>1250</v>
      </c>
      <c r="K114" s="51"/>
      <c r="L114" s="143">
        <f>$R$34</f>
        <v>-3760866</v>
      </c>
      <c r="M114" s="51"/>
      <c r="O114" s="51"/>
    </row>
    <row r="115" spans="1:15" s="50" customFormat="1">
      <c r="A115" s="293"/>
      <c r="B115" s="51"/>
      <c r="C115" s="51"/>
      <c r="D115" s="51"/>
      <c r="E115" s="51"/>
      <c r="F115" s="51"/>
      <c r="G115" s="51"/>
      <c r="H115" s="51"/>
      <c r="I115" s="51"/>
      <c r="J115" s="51" t="s">
        <v>27</v>
      </c>
      <c r="K115" s="51"/>
      <c r="L115" s="143">
        <f>SUM($P$65:$P$74)</f>
        <v>3764136</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2021794</v>
      </c>
      <c r="M117" s="51"/>
      <c r="O117" s="51"/>
    </row>
    <row r="118" spans="1:15" s="50" customFormat="1">
      <c r="A118" s="293"/>
      <c r="B118" s="51"/>
      <c r="C118" s="51"/>
      <c r="D118" s="51"/>
      <c r="E118" s="51"/>
      <c r="F118" s="51"/>
      <c r="G118" s="51"/>
      <c r="H118" s="51"/>
      <c r="I118" s="51"/>
      <c r="J118" s="51" t="s">
        <v>608</v>
      </c>
      <c r="K118" s="51"/>
      <c r="L118" s="143">
        <f>SUM($R$65:$R$73)</f>
        <v>574902</v>
      </c>
      <c r="M118" s="51"/>
      <c r="O118" s="51"/>
    </row>
    <row r="119" spans="1:15" s="50" customFormat="1">
      <c r="A119" s="293"/>
      <c r="B119" s="51"/>
      <c r="C119" s="51"/>
      <c r="D119" s="51"/>
      <c r="E119" s="51"/>
      <c r="F119" s="51"/>
      <c r="G119" s="51"/>
      <c r="H119" s="51"/>
      <c r="I119" s="51"/>
      <c r="J119" s="51" t="s">
        <v>182</v>
      </c>
      <c r="K119" s="51"/>
      <c r="L119" s="143">
        <f>SUM($X$65:$X$74)</f>
        <v>277600338</v>
      </c>
      <c r="M119" s="51"/>
      <c r="O119" s="51"/>
    </row>
    <row r="120" spans="1:15" s="50" customFormat="1">
      <c r="A120" s="293"/>
      <c r="B120" s="51"/>
      <c r="C120" s="51"/>
      <c r="D120" s="51"/>
      <c r="E120" s="51"/>
      <c r="F120" s="51"/>
      <c r="G120" s="51"/>
      <c r="H120" s="51"/>
      <c r="I120" s="51"/>
      <c r="J120" s="51" t="s">
        <v>609</v>
      </c>
      <c r="K120" s="51"/>
      <c r="L120" s="143">
        <f>$S$84</f>
        <v>31922759</v>
      </c>
      <c r="M120" s="51"/>
      <c r="O120" s="51"/>
    </row>
    <row r="121" spans="1:15" s="50" customFormat="1">
      <c r="A121" s="293"/>
      <c r="B121" s="51"/>
      <c r="C121" s="51"/>
      <c r="D121" s="51"/>
      <c r="E121" s="51"/>
      <c r="F121" s="51"/>
      <c r="G121" s="51"/>
      <c r="H121" s="51"/>
      <c r="I121" s="51"/>
      <c r="J121" s="51" t="s">
        <v>609</v>
      </c>
      <c r="K121" s="51"/>
      <c r="L121" s="143">
        <f>$S$87</f>
        <v>4668422</v>
      </c>
      <c r="M121" s="51"/>
      <c r="O121" s="51"/>
    </row>
    <row r="122" spans="1:15" s="50" customFormat="1">
      <c r="A122" s="293"/>
      <c r="B122" s="51"/>
      <c r="C122" s="51"/>
      <c r="D122" s="51"/>
      <c r="E122" s="51"/>
      <c r="F122" s="51"/>
      <c r="G122" s="51"/>
      <c r="H122" s="51"/>
      <c r="I122" s="51"/>
      <c r="J122" s="51" t="s">
        <v>1255</v>
      </c>
      <c r="K122" s="51"/>
      <c r="L122" s="935">
        <f>VLOOKUP(B2,Names!$B$10:$C$88,2,FALSE)</f>
        <v>89</v>
      </c>
      <c r="M122" s="51"/>
      <c r="O122" s="51"/>
    </row>
    <row r="123" spans="1:15">
      <c r="L123" s="486">
        <f>SUM($L$111:$L$122)</f>
        <v>1077886680</v>
      </c>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321" priority="56" stopIfTrue="1" operator="notEqual">
      <formula>#REF!</formula>
    </cfRule>
  </conditionalFormatting>
  <conditionalFormatting sqref="M77">
    <cfRule type="cellIs" dxfId="320" priority="55" stopIfTrue="1" operator="notEqual">
      <formula>SUM($M$65:$M$76)</formula>
    </cfRule>
  </conditionalFormatting>
  <conditionalFormatting sqref="M89">
    <cfRule type="cellIs" dxfId="319" priority="54" stopIfTrue="1" operator="notEqual">
      <formula>SUM($M$87:$M$88)</formula>
    </cfRule>
  </conditionalFormatting>
  <conditionalFormatting sqref="M84">
    <cfRule type="cellIs" dxfId="318" priority="53" stopIfTrue="1" operator="notEqual">
      <formula>SUM($M$80:$M$83)</formula>
    </cfRule>
  </conditionalFormatting>
  <conditionalFormatting sqref="M62">
    <cfRule type="cellIs" dxfId="317" priority="49" stopIfTrue="1" operator="notEqual">
      <formula>SUM($M$56:$M$61)</formula>
    </cfRule>
  </conditionalFormatting>
  <conditionalFormatting sqref="M15">
    <cfRule type="cellIs" dxfId="316" priority="48" stopIfTrue="1" operator="notEqual">
      <formula>SUM($M$10:$M$14)</formula>
    </cfRule>
  </conditionalFormatting>
  <conditionalFormatting sqref="R99:S102 X95:AB102 U93:W100 T95:T102 O93:O100 D98:L98 P94:P101 Q93:Q100 S95:S98 R95:R97">
    <cfRule type="cellIs" dxfId="315" priority="47" stopIfTrue="1" operator="notEqual">
      <formula>#REF!</formula>
    </cfRule>
  </conditionalFormatting>
  <conditionalFormatting sqref="G64:K64">
    <cfRule type="expression" dxfId="314" priority="40">
      <formula>$R$98&lt;&gt;0</formula>
    </cfRule>
  </conditionalFormatting>
  <conditionalFormatting sqref="O11:P11">
    <cfRule type="expression" dxfId="313" priority="39">
      <formula>#REF!&lt;&gt;$N$11</formula>
    </cfRule>
  </conditionalFormatting>
  <conditionalFormatting sqref="O13">
    <cfRule type="expression" dxfId="312" priority="38">
      <formula>$Q$13&lt;&gt;$N$13</formula>
    </cfRule>
  </conditionalFormatting>
  <conditionalFormatting sqref="O12">
    <cfRule type="expression" dxfId="311" priority="37">
      <formula>$Q$12&lt;&gt;$N$12</formula>
    </cfRule>
  </conditionalFormatting>
  <conditionalFormatting sqref="S91">
    <cfRule type="expression" priority="35" stopIfTrue="1">
      <formula>$N$91&lt;0</formula>
    </cfRule>
    <cfRule type="expression" dxfId="310" priority="36">
      <formula>$T$91&lt;&gt;0</formula>
    </cfRule>
  </conditionalFormatting>
  <conditionalFormatting sqref="S84 S87">
    <cfRule type="expression" dxfId="309" priority="33" stopIfTrue="1">
      <formula>$M$91&gt;=0</formula>
    </cfRule>
    <cfRule type="expression" priority="34">
      <formula>$M$91&lt;0</formula>
    </cfRule>
  </conditionalFormatting>
  <conditionalFormatting sqref="U100:V100 R102 U101 P100:P101 Q100:R100 S100:T102 S105:U106">
    <cfRule type="cellIs" dxfId="308" priority="32" stopIfTrue="1" operator="notEqual">
      <formula>#REF!</formula>
    </cfRule>
  </conditionalFormatting>
  <conditionalFormatting sqref="P76">
    <cfRule type="expression" dxfId="307" priority="30">
      <formula>$P$75&lt;&gt;$M$75</formula>
    </cfRule>
  </conditionalFormatting>
  <conditionalFormatting sqref="Y78">
    <cfRule type="expression" dxfId="306" priority="29">
      <formula>$Y$77&lt;&gt;0</formula>
    </cfRule>
  </conditionalFormatting>
  <conditionalFormatting sqref="Q36">
    <cfRule type="expression" dxfId="305" priority="25">
      <formula>#REF!&lt;&gt;#REF!</formula>
    </cfRule>
  </conditionalFormatting>
  <conditionalFormatting sqref="R35">
    <cfRule type="expression" dxfId="304" priority="24">
      <formula>#REF!&lt;&gt;0</formula>
    </cfRule>
  </conditionalFormatting>
  <conditionalFormatting sqref="Q35">
    <cfRule type="expression" dxfId="303" priority="23">
      <formula>#REF!&lt;&gt;0</formula>
    </cfRule>
  </conditionalFormatting>
  <conditionalFormatting sqref="R36">
    <cfRule type="expression" dxfId="302" priority="22">
      <formula>#REF!&lt;&gt;#REF!</formula>
    </cfRule>
  </conditionalFormatting>
  <conditionalFormatting sqref="D99:M99 D98:L98">
    <cfRule type="cellIs" dxfId="301" priority="21" stopIfTrue="1" operator="notEqual">
      <formula>#REF!</formula>
    </cfRule>
  </conditionalFormatting>
  <conditionalFormatting sqref="M77">
    <cfRule type="cellIs" dxfId="300" priority="20" stopIfTrue="1" operator="notEqual">
      <formula>SUM($M$65:$M$76)</formula>
    </cfRule>
  </conditionalFormatting>
  <conditionalFormatting sqref="M89">
    <cfRule type="cellIs" dxfId="299" priority="19" stopIfTrue="1" operator="notEqual">
      <formula>SUM($M$87:$M$88)</formula>
    </cfRule>
  </conditionalFormatting>
  <conditionalFormatting sqref="M84">
    <cfRule type="cellIs" dxfId="298" priority="18" stopIfTrue="1" operator="notEqual">
      <formula>SUM($M$80:$M$83)</formula>
    </cfRule>
  </conditionalFormatting>
  <conditionalFormatting sqref="M62">
    <cfRule type="cellIs" dxfId="297" priority="17" stopIfTrue="1" operator="notEqual">
      <formula>SUM($M$56:$M$61)</formula>
    </cfRule>
  </conditionalFormatting>
  <conditionalFormatting sqref="M15">
    <cfRule type="cellIs" dxfId="296" priority="16" stopIfTrue="1" operator="notEqual">
      <formula>SUM($M$10:$M$14)</formula>
    </cfRule>
  </conditionalFormatting>
  <conditionalFormatting sqref="D98:L98">
    <cfRule type="cellIs" dxfId="295" priority="15" stopIfTrue="1" operator="notEqual">
      <formula>#REF!</formula>
    </cfRule>
  </conditionalFormatting>
  <conditionalFormatting sqref="G64:K64">
    <cfRule type="expression" dxfId="294" priority="14">
      <formula>$R$98&lt;&gt;0</formula>
    </cfRule>
  </conditionalFormatting>
  <conditionalFormatting sqref="O11:P11">
    <cfRule type="expression" dxfId="293" priority="13">
      <formula>#REF!&lt;&gt;$N$11</formula>
    </cfRule>
  </conditionalFormatting>
  <conditionalFormatting sqref="O13">
    <cfRule type="expression" dxfId="292" priority="12">
      <formula>$Q$13&lt;&gt;$N$13</formula>
    </cfRule>
  </conditionalFormatting>
  <conditionalFormatting sqref="O12">
    <cfRule type="expression" dxfId="291" priority="11">
      <formula>$Q$12&lt;&gt;$N$12</formula>
    </cfRule>
  </conditionalFormatting>
  <conditionalFormatting sqref="S91">
    <cfRule type="expression" priority="9" stopIfTrue="1">
      <formula>$N$91&lt;0</formula>
    </cfRule>
    <cfRule type="expression" dxfId="290" priority="10">
      <formula>$T$91&lt;&gt;0</formula>
    </cfRule>
  </conditionalFormatting>
  <conditionalFormatting sqref="S84 S87">
    <cfRule type="expression" dxfId="289" priority="7" stopIfTrue="1">
      <formula>$M$91&gt;=0</formula>
    </cfRule>
    <cfRule type="expression" priority="8">
      <formula>$M$91&lt;0</formula>
    </cfRule>
  </conditionalFormatting>
  <conditionalFormatting sqref="U100:V100 R102 U101 P100:P101 Q100:R100 S100:T102 S105:U106">
    <cfRule type="cellIs" dxfId="288" priority="6" stopIfTrue="1" operator="notEqual">
      <formula>#REF!</formula>
    </cfRule>
  </conditionalFormatting>
  <conditionalFormatting sqref="P76">
    <cfRule type="expression" dxfId="287" priority="5">
      <formula>$P$75&lt;&gt;$M$75</formula>
    </cfRule>
  </conditionalFormatting>
  <conditionalFormatting sqref="Y78">
    <cfRule type="expression" dxfId="286" priority="4">
      <formula>$Y$77&lt;&gt;0</formula>
    </cfRule>
  </conditionalFormatting>
  <conditionalFormatting sqref="Q36:R36">
    <cfRule type="expression" dxfId="285" priority="3">
      <formula>#REF!&lt;&gt;#REF!</formula>
    </cfRule>
  </conditionalFormatting>
  <conditionalFormatting sqref="R35">
    <cfRule type="expression" dxfId="284" priority="2">
      <formula>#REF!&lt;&gt;0</formula>
    </cfRule>
  </conditionalFormatting>
  <conditionalFormatting sqref="Q35">
    <cfRule type="expression" dxfId="283"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'TAMHSC Chts'!$A$1</f>
        <v>Texas A&amp;M University System Health Science Center</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IF('TAMHSC FGD'!$S$83="N/A","FN11.  N/A",$B$14&amp;$B$15&amp;$B$16&amp;$B$17&amp;$B$18&amp;$B$19&amp;$B$20&amp;$B$21&amp;$B$22&amp;$B$23&amp;$B$24)</f>
        <v>FN11: Of the net increase of $36,593,181 approximately $31.9 million represents revenues received but not year expended. This income is fully committed to program expenditures and capital disbursements. The remaining $4.7 million represents non-expendable funds from unrealized gains and additions to permanent endowments of approximately $4.7 million and $2 thousand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TEXT(IF('TAMHSC FGD'!$M$91&lt;0,"N/A",'TAMHSC FGD'!$M$91),"$* #,##0;$* (#,##0)")</f>
        <v>$36,593,181</v>
      </c>
      <c r="C15" s="453"/>
      <c r="F15" s="453"/>
      <c r="G15" s="54"/>
    </row>
    <row r="16" spans="1:7">
      <c r="B16" s="54" t="s">
        <v>611</v>
      </c>
    </row>
    <row r="17" spans="1:6">
      <c r="A17" s="53">
        <v>68</v>
      </c>
      <c r="B17" s="489" t="str">
        <f>IF(ABS('TAMHSC FGD'!$S$84)&gt;=1000000,TEXT('TAMHSC FGD'!$S$84/1000000,"$* #,##0.0;$* (#,##0.0)")&amp;" million",IF(ABS('TAMHSC FGD'!$S$84)&lt;1000,TEXT('TAMHSC FGD'!$S$84,"$* #,##0;$* (#,##0)"),TEXT('TAMHSC FGD'!$S$84/1000,"$* #,##0;$* (#,##0)")&amp;" thousand"))</f>
        <v>$31.9 million</v>
      </c>
      <c r="C17" s="489"/>
      <c r="F17" s="489"/>
    </row>
    <row r="18" spans="1:6">
      <c r="B18" s="54" t="s">
        <v>627</v>
      </c>
    </row>
    <row r="19" spans="1:6">
      <c r="A19" s="53">
        <v>69</v>
      </c>
      <c r="B19" s="53" t="str">
        <f>IF(ABS('TAMHSC FGD'!$S$85)&gt;=1000000,TEXT('TAMHSC FGD'!$S$85/1000000,"$* #,##0.0;$* (#,##0.0)")&amp;" million",IF(ABS('TAMHSC FGD'!$S$85)&lt;1000,TEXT('TAMHSC FGD'!$S$85,"$* #,##0;$* (#,##0)"),TEXT('TAMHSC FGD'!$S$85/1000,"$* #,##0;$* (#,##0)")&amp;" thousand"))</f>
        <v>$4.7 million</v>
      </c>
    </row>
    <row r="20" spans="1:6">
      <c r="B20" s="54" t="s">
        <v>612</v>
      </c>
    </row>
    <row r="21" spans="1:6">
      <c r="A21" s="53">
        <v>71</v>
      </c>
      <c r="B21" s="53" t="str">
        <f>IF(ABS('TAMHSC FGD'!$S$87)&gt;=1000000,TEXT('TAMHSC FGD'!$S$87/1000000,"$* #,##0.0;$* (#,##0.0)")&amp;" million",IF(ABS('TAMHSC FGD'!$S$87)&lt;1000,TEXT('TAMHSC FGD'!$S$87,"$* #,##0;$* (#,##0)"),TEXT('TAMHSC FGD'!$S$87/1000,"$* #,##0;$* (#,##0)")&amp;" thousand"))</f>
        <v>$4.7 million</v>
      </c>
    </row>
    <row r="22" spans="1:6">
      <c r="B22" s="54" t="s">
        <v>613</v>
      </c>
    </row>
    <row r="23" spans="1:6">
      <c r="A23" s="53">
        <v>73</v>
      </c>
      <c r="B23" s="53" t="str">
        <f>IF(ABS('TAMHSC FGD'!$S$89)&gt;=1000000,TEXT('TAMHSC FGD'!$S$89/1000000,"$* #,##0.0;$* (#,##0.0)")&amp;" million",IF(ABS('TAMHSC FGD'!$S$89)&lt;1000,TEXT('TAMHSC FGD'!$S$89,"$* #,##0;$* (#,##0)"),TEXT('TAMHSC FGD'!$S$89/1000,"$* #,##0;$* (#,##0)")&amp;" thousand"))</f>
        <v>$2 thousand</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97"/>
  <sheetViews>
    <sheetView showGridLines="0" zoomScale="90" zoomScaleNormal="90" workbookViewId="0">
      <selection activeCell="F2" sqref="F2"/>
    </sheetView>
  </sheetViews>
  <sheetFormatPr defaultRowHeight="12.75"/>
  <cols>
    <col min="1" max="1" width="9.140625" style="102"/>
    <col min="2" max="2" width="7.28515625" style="102" customWidth="1"/>
    <col min="3" max="3" width="27" style="102" customWidth="1"/>
    <col min="4" max="4" width="16.5703125" style="102" customWidth="1"/>
    <col min="5" max="5" width="15.85546875" style="102" customWidth="1"/>
    <col min="6" max="6" width="14.5703125" style="102" customWidth="1"/>
    <col min="7" max="7" width="14.7109375" style="102" customWidth="1"/>
    <col min="8" max="8" width="15.42578125" style="102" customWidth="1"/>
    <col min="9" max="9" width="17.7109375" style="102" customWidth="1"/>
    <col min="10" max="10" width="15.140625" style="102" customWidth="1"/>
    <col min="11" max="11" width="14.85546875" style="102" customWidth="1"/>
    <col min="12" max="12" width="15.85546875" style="102" customWidth="1"/>
    <col min="13" max="13" width="18.28515625" style="102" customWidth="1"/>
    <col min="14" max="14" width="15" style="102" customWidth="1"/>
    <col min="15" max="15" width="12.28515625" style="102" customWidth="1"/>
    <col min="16" max="16" width="18.5703125" style="102" customWidth="1"/>
    <col min="17" max="17" width="20.7109375" style="105" customWidth="1"/>
    <col min="18" max="16384" width="9.140625" style="102"/>
  </cols>
  <sheetData>
    <row r="1" spans="1:17" ht="13.5" thickBot="1">
      <c r="F1" s="103" t="s">
        <v>1302</v>
      </c>
      <c r="I1" s="104"/>
      <c r="J1" s="703" t="s">
        <v>1123</v>
      </c>
    </row>
    <row r="2" spans="1:17">
      <c r="B2" s="102" t="s">
        <v>1252</v>
      </c>
      <c r="F2" s="103" t="s">
        <v>142</v>
      </c>
    </row>
    <row r="3" spans="1:17">
      <c r="B3" s="102" t="s">
        <v>1253</v>
      </c>
      <c r="F3" s="800"/>
    </row>
    <row r="4" spans="1:17">
      <c r="F4" s="103"/>
    </row>
    <row r="5" spans="1:17" s="110" customFormat="1" ht="56.25" customHeight="1">
      <c r="B5" s="106" t="s">
        <v>108</v>
      </c>
      <c r="C5" s="106"/>
      <c r="D5" s="107" t="s">
        <v>143</v>
      </c>
      <c r="E5" s="108" t="s">
        <v>175</v>
      </c>
      <c r="F5" s="107" t="s">
        <v>136</v>
      </c>
      <c r="G5" s="107"/>
      <c r="H5" s="107" t="s">
        <v>144</v>
      </c>
      <c r="I5" s="107"/>
      <c r="J5" s="107"/>
      <c r="K5" s="108"/>
      <c r="L5" s="107"/>
      <c r="M5" s="106"/>
      <c r="N5" s="106"/>
      <c r="O5" s="106"/>
      <c r="P5" s="106"/>
      <c r="Q5" s="109"/>
    </row>
    <row r="6" spans="1:17">
      <c r="A6" s="102">
        <v>1</v>
      </c>
      <c r="B6" s="112"/>
      <c r="C6" s="113" t="s">
        <v>110</v>
      </c>
      <c r="D6" s="114">
        <f>'SWM Sum'!B$15</f>
        <v>233159298</v>
      </c>
      <c r="E6" s="185">
        <f>'SWM Sum'!C6</f>
        <v>2166.6799999999998</v>
      </c>
      <c r="F6" s="114">
        <f>'SWM Sum'!C$15</f>
        <v>107611</v>
      </c>
      <c r="G6" s="114"/>
      <c r="H6" s="114">
        <f>F6</f>
        <v>107611</v>
      </c>
      <c r="I6" s="114"/>
      <c r="J6" s="114"/>
      <c r="K6" s="115"/>
      <c r="L6" s="114"/>
      <c r="M6" s="115"/>
      <c r="N6" s="116"/>
      <c r="O6" s="116"/>
      <c r="P6" s="116"/>
      <c r="Q6" s="117"/>
    </row>
    <row r="7" spans="1:17">
      <c r="A7" s="102">
        <v>2</v>
      </c>
      <c r="B7" s="112"/>
      <c r="C7" s="113" t="s">
        <v>125</v>
      </c>
      <c r="D7" s="118">
        <f>'MBG Sum'!$B$15</f>
        <v>380383100</v>
      </c>
      <c r="E7" s="185">
        <f>'MBG Sum'!$C$6</f>
        <v>3693.9200000000005</v>
      </c>
      <c r="F7" s="118">
        <f>'MBG Sum'!$C$15</f>
        <v>102976</v>
      </c>
      <c r="G7" s="118"/>
      <c r="H7" s="118"/>
      <c r="I7" s="118"/>
      <c r="J7" s="118"/>
      <c r="K7" s="119"/>
      <c r="L7" s="118"/>
      <c r="M7" s="119"/>
      <c r="N7" s="120"/>
      <c r="O7" s="120"/>
      <c r="P7" s="120"/>
      <c r="Q7" s="117"/>
    </row>
    <row r="8" spans="1:17">
      <c r="A8" s="102">
        <v>3</v>
      </c>
      <c r="B8" s="112"/>
      <c r="C8" s="113" t="s">
        <v>122</v>
      </c>
      <c r="D8" s="118">
        <f>'HSH Sum'!$B$15</f>
        <v>233613776</v>
      </c>
      <c r="E8" s="185">
        <f>'HSH Sum'!$C$6</f>
        <v>4887.8900000000003</v>
      </c>
      <c r="F8" s="118">
        <f>'HSH Sum'!$C$15</f>
        <v>47794</v>
      </c>
      <c r="G8" s="118"/>
      <c r="H8" s="118">
        <f>F8</f>
        <v>47794</v>
      </c>
      <c r="I8" s="118"/>
      <c r="J8" s="118"/>
      <c r="K8" s="119"/>
      <c r="L8" s="118"/>
      <c r="M8" s="119"/>
      <c r="N8" s="120"/>
      <c r="O8" s="120"/>
      <c r="P8" s="120"/>
      <c r="Q8" s="117"/>
    </row>
    <row r="9" spans="1:17">
      <c r="A9" s="102">
        <v>4</v>
      </c>
      <c r="B9" s="112"/>
      <c r="C9" s="113" t="s">
        <v>112</v>
      </c>
      <c r="D9" s="118">
        <f>'HSSA Sum'!$B$15</f>
        <v>184176527</v>
      </c>
      <c r="E9" s="185">
        <f>'HSSA Sum'!$C$6</f>
        <v>3827.8999999999996</v>
      </c>
      <c r="F9" s="118">
        <f>'HSSA Sum'!$C$15</f>
        <v>48114</v>
      </c>
      <c r="G9" s="118"/>
      <c r="H9" s="118">
        <f>F9</f>
        <v>48114</v>
      </c>
      <c r="I9" s="118"/>
      <c r="J9" s="118"/>
      <c r="K9" s="119"/>
      <c r="L9" s="118"/>
      <c r="M9" s="119"/>
      <c r="N9" s="120"/>
      <c r="O9" s="120"/>
      <c r="P9" s="120"/>
      <c r="Q9" s="117"/>
    </row>
    <row r="10" spans="1:17">
      <c r="A10" s="102">
        <v>5</v>
      </c>
      <c r="B10" s="112"/>
      <c r="C10" s="113" t="s">
        <v>124</v>
      </c>
      <c r="D10" s="118">
        <f>'MDA Sum'!$B$15</f>
        <v>258497280</v>
      </c>
      <c r="E10" s="185">
        <f>'MDA Sum'!$C$6</f>
        <v>378.18</v>
      </c>
      <c r="F10" s="118">
        <f>'MDA Sum'!$C$15</f>
        <v>0</v>
      </c>
      <c r="G10" s="118"/>
      <c r="H10" s="118"/>
      <c r="I10" s="118"/>
      <c r="J10" s="118"/>
      <c r="K10" s="119"/>
      <c r="L10" s="118"/>
      <c r="M10" s="119"/>
      <c r="N10" s="120"/>
      <c r="O10" s="120"/>
      <c r="P10" s="120"/>
      <c r="Q10" s="117"/>
    </row>
    <row r="11" spans="1:17">
      <c r="A11" s="102">
        <v>6</v>
      </c>
      <c r="B11" s="112"/>
      <c r="C11" s="113" t="s">
        <v>1300</v>
      </c>
      <c r="D11" s="118">
        <f>'THC Sum'!$B$15</f>
        <v>64528570</v>
      </c>
      <c r="E11" s="185">
        <f>'THC Sum'!$C$6</f>
        <v>30.130000000000003</v>
      </c>
      <c r="F11" s="118">
        <f>'THC Sum'!$C$15</f>
        <v>0</v>
      </c>
      <c r="G11" s="118"/>
      <c r="H11" s="118"/>
      <c r="I11" s="118"/>
      <c r="J11" s="118"/>
      <c r="K11" s="119"/>
      <c r="L11" s="118"/>
      <c r="M11" s="119"/>
      <c r="N11" s="120"/>
      <c r="O11" s="120"/>
      <c r="P11" s="120"/>
      <c r="Q11" s="117"/>
    </row>
    <row r="12" spans="1:17">
      <c r="A12" s="102">
        <v>7</v>
      </c>
      <c r="B12" s="112"/>
      <c r="C12" s="113" t="s">
        <v>114</v>
      </c>
      <c r="D12" s="118">
        <f>'TAMHSC Sum'!$B$15</f>
        <v>185992441</v>
      </c>
      <c r="E12" s="185">
        <f>'TAMHSC Sum'!$C$6</f>
        <v>3113.57</v>
      </c>
      <c r="F12" s="118">
        <f>'TAMHSC Sum'!$C$15</f>
        <v>59736</v>
      </c>
      <c r="G12" s="118"/>
      <c r="H12" s="118">
        <f>F12</f>
        <v>59736</v>
      </c>
      <c r="I12" s="118"/>
      <c r="J12" s="118"/>
      <c r="K12" s="119"/>
      <c r="L12" s="118"/>
      <c r="M12" s="119"/>
      <c r="N12" s="120"/>
      <c r="O12" s="120"/>
      <c r="P12" s="120"/>
      <c r="Q12" s="117"/>
    </row>
    <row r="13" spans="1:17">
      <c r="A13" s="102">
        <v>8</v>
      </c>
      <c r="B13" s="112"/>
      <c r="C13" s="113" t="s">
        <v>116</v>
      </c>
      <c r="D13" s="118">
        <f>'UNTHSC Sum'!$B$15</f>
        <v>122999249</v>
      </c>
      <c r="E13" s="185">
        <f>'UNTHSC Sum'!$C$6</f>
        <v>2836.2200000000003</v>
      </c>
      <c r="F13" s="118">
        <f>'UNTHSC Sum'!$C$15</f>
        <v>43367</v>
      </c>
      <c r="G13" s="118"/>
      <c r="H13" s="118">
        <f>F13</f>
        <v>43367</v>
      </c>
      <c r="I13" s="118"/>
      <c r="J13" s="118"/>
      <c r="K13" s="119"/>
      <c r="L13" s="118"/>
      <c r="M13" s="119"/>
      <c r="N13" s="120"/>
      <c r="O13" s="120"/>
      <c r="P13" s="120"/>
      <c r="Q13" s="117"/>
    </row>
    <row r="14" spans="1:17">
      <c r="A14" s="102">
        <v>9</v>
      </c>
      <c r="B14" s="112"/>
      <c r="C14" s="122" t="s">
        <v>120</v>
      </c>
      <c r="D14" s="123">
        <f>'TTUHSC Sum'!$B$15</f>
        <v>201620004</v>
      </c>
      <c r="E14" s="185">
        <f>'TTUHSC Sum'!$C$6</f>
        <v>5735.93</v>
      </c>
      <c r="F14" s="123">
        <f>'TTUHSC Sum'!$C$15</f>
        <v>35151</v>
      </c>
      <c r="G14" s="123"/>
      <c r="H14" s="123">
        <f>F14</f>
        <v>35151</v>
      </c>
      <c r="I14" s="123"/>
      <c r="J14" s="123"/>
      <c r="K14" s="124"/>
      <c r="L14" s="123"/>
      <c r="M14" s="124"/>
      <c r="N14" s="125"/>
      <c r="O14" s="125"/>
      <c r="P14" s="125"/>
      <c r="Q14" s="126"/>
    </row>
    <row r="15" spans="1:17" ht="13.5" thickBot="1">
      <c r="B15" s="127">
        <f>COUNTA(B6:B14)</f>
        <v>0</v>
      </c>
      <c r="C15" s="128" t="s">
        <v>126</v>
      </c>
      <c r="D15" s="49">
        <f t="shared" ref="D15" si="0">SUM(D6:D14)</f>
        <v>1864970245</v>
      </c>
      <c r="E15" s="129"/>
      <c r="F15" s="49">
        <f>SUM(F6:F14)</f>
        <v>444749</v>
      </c>
      <c r="G15" s="49"/>
      <c r="H15" s="49">
        <f>SUM(H6:H14)</f>
        <v>341773</v>
      </c>
      <c r="I15" s="49"/>
      <c r="J15" s="49"/>
      <c r="K15" s="129"/>
      <c r="L15" s="49"/>
      <c r="M15" s="129"/>
      <c r="N15" s="130"/>
      <c r="O15" s="130"/>
      <c r="P15" s="129"/>
      <c r="Q15" s="131"/>
    </row>
    <row r="16" spans="1:17" ht="13.5" thickTop="1"/>
    <row r="17" spans="1:16">
      <c r="G17" s="186" t="s">
        <v>145</v>
      </c>
      <c r="H17" s="187">
        <f>AVERAGE(H6:H14)</f>
        <v>56962.166666666664</v>
      </c>
    </row>
    <row r="18" spans="1:16" ht="13.5" thickBot="1"/>
    <row r="19" spans="1:16">
      <c r="A19" s="213"/>
      <c r="B19" s="214"/>
      <c r="C19" s="214"/>
      <c r="D19" s="215" t="s">
        <v>74</v>
      </c>
      <c r="E19" s="216"/>
      <c r="F19" s="214"/>
      <c r="G19" s="214"/>
      <c r="H19" s="217"/>
      <c r="I19" s="214"/>
      <c r="J19" s="218"/>
    </row>
    <row r="20" spans="1:16">
      <c r="A20" s="219"/>
      <c r="B20" s="220"/>
      <c r="C20" s="221" t="s">
        <v>0</v>
      </c>
      <c r="D20" s="220"/>
      <c r="E20" s="220"/>
      <c r="F20" s="220"/>
      <c r="G20" s="220"/>
      <c r="H20" s="222"/>
      <c r="I20" s="220"/>
      <c r="J20" s="223"/>
    </row>
    <row r="21" spans="1:16" s="110" customFormat="1" ht="66" customHeight="1">
      <c r="A21" s="224"/>
      <c r="B21" s="191"/>
      <c r="C21" s="191" t="s">
        <v>146</v>
      </c>
      <c r="D21" s="202" t="s">
        <v>1</v>
      </c>
      <c r="E21" s="202" t="s">
        <v>2</v>
      </c>
      <c r="F21" s="202" t="s">
        <v>95</v>
      </c>
      <c r="G21" s="202" t="s">
        <v>26</v>
      </c>
      <c r="H21" s="202" t="s">
        <v>46</v>
      </c>
      <c r="I21" s="198" t="s">
        <v>3</v>
      </c>
      <c r="J21" s="225" t="s">
        <v>59</v>
      </c>
      <c r="P21" s="199"/>
    </row>
    <row r="22" spans="1:16">
      <c r="A22" s="219">
        <v>1</v>
      </c>
      <c r="B22" s="112"/>
      <c r="C22" s="206" t="s">
        <v>110</v>
      </c>
      <c r="D22" s="226">
        <f>'SWM Sum'!$B$10</f>
        <v>191118600</v>
      </c>
      <c r="E22" s="227">
        <f>'SWM Sum'!$B$11</f>
        <v>42040698</v>
      </c>
      <c r="F22" s="227">
        <f>'SWM Sum'!$B$12</f>
        <v>0</v>
      </c>
      <c r="G22" s="227">
        <f>'SWM Sum'!$B$13</f>
        <v>0</v>
      </c>
      <c r="H22" s="222">
        <f>'SWM Sum'!$B$14</f>
        <v>0</v>
      </c>
      <c r="I22" s="226">
        <f>SUM(D22:H22)</f>
        <v>233159298</v>
      </c>
      <c r="J22" s="228" t="str">
        <f>IF(I22&lt;&gt;'SWM Sum'!$B$15,"Formula Error","")</f>
        <v/>
      </c>
    </row>
    <row r="23" spans="1:16">
      <c r="A23" s="219">
        <v>2</v>
      </c>
      <c r="B23" s="112"/>
      <c r="C23" s="206" t="s">
        <v>125</v>
      </c>
      <c r="D23" s="227">
        <f>'MBG Sum'!$B$10</f>
        <v>369420210</v>
      </c>
      <c r="E23" s="227">
        <f>'MBG Sum'!$B$11</f>
        <v>10962890</v>
      </c>
      <c r="F23" s="227">
        <f>'MBG Sum'!$B$12</f>
        <v>0</v>
      </c>
      <c r="G23" s="227">
        <f>'MBG Sum'!$B$13</f>
        <v>0</v>
      </c>
      <c r="H23" s="227">
        <f>'MBG Sum'!$B$14</f>
        <v>0</v>
      </c>
      <c r="I23" s="227">
        <f t="shared" ref="I23:I30" si="1">SUM(D23:H23)</f>
        <v>380383100</v>
      </c>
      <c r="J23" s="228" t="str">
        <f>IF(I23&lt;&gt;'MBG Sum'!$B$15,"Formula Error","")</f>
        <v/>
      </c>
    </row>
    <row r="24" spans="1:16">
      <c r="A24" s="219">
        <v>3</v>
      </c>
      <c r="B24" s="112"/>
      <c r="C24" s="206" t="s">
        <v>122</v>
      </c>
      <c r="D24" s="227">
        <f>'HSH Sum'!$B$10</f>
        <v>214802895</v>
      </c>
      <c r="E24" s="227">
        <f>'HSH Sum'!$B$11</f>
        <v>18810881</v>
      </c>
      <c r="F24" s="227">
        <f>'HSH Sum'!$B$12</f>
        <v>0</v>
      </c>
      <c r="G24" s="227">
        <f>'HSH Sum'!$B$13</f>
        <v>0</v>
      </c>
      <c r="H24" s="227">
        <f>'HSH Sum'!$B$14</f>
        <v>0</v>
      </c>
      <c r="I24" s="227">
        <f t="shared" si="1"/>
        <v>233613776</v>
      </c>
      <c r="J24" s="228" t="str">
        <f>IF(I24&lt;&gt;'HSH Sum'!$B$15,"Formula Error","")</f>
        <v/>
      </c>
    </row>
    <row r="25" spans="1:16">
      <c r="A25" s="219">
        <v>4</v>
      </c>
      <c r="B25" s="112"/>
      <c r="C25" s="206" t="s">
        <v>112</v>
      </c>
      <c r="D25" s="227">
        <f>'HSSA Sum'!$B$10</f>
        <v>169212881</v>
      </c>
      <c r="E25" s="227">
        <f>'HSSA Sum'!$B$11</f>
        <v>14963646</v>
      </c>
      <c r="F25" s="227">
        <f>'HSSA Sum'!$B$12</f>
        <v>0</v>
      </c>
      <c r="G25" s="227">
        <f>'HSSA Sum'!$B$13</f>
        <v>0</v>
      </c>
      <c r="H25" s="227">
        <f>'HSSA Sum'!$B$14</f>
        <v>0</v>
      </c>
      <c r="I25" s="227">
        <f t="shared" si="1"/>
        <v>184176527</v>
      </c>
      <c r="J25" s="228" t="str">
        <f>IF(I25&lt;&gt;'HSSA Sum'!$B$15,"Formula Error","")</f>
        <v/>
      </c>
    </row>
    <row r="26" spans="1:16">
      <c r="A26" s="219">
        <v>5</v>
      </c>
      <c r="B26" s="112"/>
      <c r="C26" s="206" t="s">
        <v>124</v>
      </c>
      <c r="D26" s="227">
        <f>'MDA Sum'!$B$10</f>
        <v>210130004</v>
      </c>
      <c r="E26" s="227">
        <f>'MDA Sum'!$B$11</f>
        <v>48367276</v>
      </c>
      <c r="F26" s="227">
        <f>'MDA Sum'!$B$12</f>
        <v>0</v>
      </c>
      <c r="G26" s="227">
        <f>'MDA Sum'!$B$13</f>
        <v>0</v>
      </c>
      <c r="H26" s="227">
        <f>'MDA Sum'!$B$14</f>
        <v>0</v>
      </c>
      <c r="I26" s="227">
        <f t="shared" si="1"/>
        <v>258497280</v>
      </c>
      <c r="J26" s="228" t="str">
        <f>IF(I26&lt;&gt;'MDA Sum'!$B$15,"Formula Error","")</f>
        <v/>
      </c>
    </row>
    <row r="27" spans="1:16">
      <c r="A27" s="219">
        <v>6</v>
      </c>
      <c r="B27" s="112"/>
      <c r="C27" s="206" t="s">
        <v>118</v>
      </c>
      <c r="D27" s="227">
        <f>'THC Sum'!$B$10</f>
        <v>51387510</v>
      </c>
      <c r="E27" s="227">
        <f>'THC Sum'!$B$11</f>
        <v>13141060</v>
      </c>
      <c r="F27" s="227">
        <f>'THC Sum'!$B$12</f>
        <v>0</v>
      </c>
      <c r="G27" s="227">
        <f>'THC Sum'!$B$13</f>
        <v>0</v>
      </c>
      <c r="H27" s="227">
        <f>'THC Sum'!$B$14</f>
        <v>0</v>
      </c>
      <c r="I27" s="227">
        <f t="shared" si="1"/>
        <v>64528570</v>
      </c>
      <c r="J27" s="228" t="str">
        <f>IF(I27&lt;&gt;'THC Sum'!$B$15,"Formula Error","")</f>
        <v/>
      </c>
    </row>
    <row r="28" spans="1:16">
      <c r="A28" s="219">
        <v>7</v>
      </c>
      <c r="B28" s="112"/>
      <c r="C28" s="206" t="s">
        <v>114</v>
      </c>
      <c r="D28" s="227">
        <f>'TAMHSC Sum'!$B$10</f>
        <v>161801242</v>
      </c>
      <c r="E28" s="227">
        <f>'TAMHSC Sum'!$B$11</f>
        <v>5591867</v>
      </c>
      <c r="F28" s="227">
        <f>'TAMHSC Sum'!$B$12</f>
        <v>0</v>
      </c>
      <c r="G28" s="227">
        <f>'TAMHSC Sum'!$B$13</f>
        <v>0</v>
      </c>
      <c r="H28" s="227">
        <f>'TAMHSC Sum'!$B$14</f>
        <v>18599332</v>
      </c>
      <c r="I28" s="227">
        <f t="shared" si="1"/>
        <v>185992441</v>
      </c>
      <c r="J28" s="228" t="str">
        <f>IF(I28&lt;&gt;'TAMHSC Sum'!$B$15,"Formula Error","")</f>
        <v/>
      </c>
    </row>
    <row r="29" spans="1:16">
      <c r="A29" s="219">
        <v>8</v>
      </c>
      <c r="B29" s="112"/>
      <c r="C29" s="206" t="s">
        <v>116</v>
      </c>
      <c r="D29" s="227">
        <f>'UNTHSC Sum'!$B$10</f>
        <v>102748866</v>
      </c>
      <c r="E29" s="227">
        <f>'UNTHSC Sum'!$B$11</f>
        <v>3158527</v>
      </c>
      <c r="F29" s="227">
        <f>'UNTHSC Sum'!$B$12</f>
        <v>0</v>
      </c>
      <c r="G29" s="227">
        <f>'UNTHSC Sum'!$B$13</f>
        <v>17091856</v>
      </c>
      <c r="H29" s="227">
        <f>'UNTHSC Sum'!$B$14</f>
        <v>0</v>
      </c>
      <c r="I29" s="227">
        <f t="shared" si="1"/>
        <v>122999249</v>
      </c>
      <c r="J29" s="228" t="str">
        <f>IF(I29&lt;&gt;'UNTHSC Sum'!$B$15,"Formula Error","")</f>
        <v/>
      </c>
    </row>
    <row r="30" spans="1:16">
      <c r="A30" s="219">
        <v>9</v>
      </c>
      <c r="B30" s="112"/>
      <c r="C30" s="122" t="s">
        <v>120</v>
      </c>
      <c r="D30" s="227">
        <f>'TTUHSC Sum'!$B$10</f>
        <v>166507267</v>
      </c>
      <c r="E30" s="227">
        <f>'TTUHSC Sum'!$B$11</f>
        <v>11740341</v>
      </c>
      <c r="F30" s="227">
        <f>'TTUHSC Sum'!$B$12</f>
        <v>0</v>
      </c>
      <c r="G30" s="227">
        <f>'TTUHSC Sum'!$B$13</f>
        <v>23372396</v>
      </c>
      <c r="H30" s="227">
        <f>'TTUHSC Sum'!$B$14</f>
        <v>0</v>
      </c>
      <c r="I30" s="227">
        <f t="shared" si="1"/>
        <v>201620004</v>
      </c>
      <c r="J30" s="228" t="str">
        <f>IF(I30&lt;&gt;'TTUHSC Sum'!$B$15,"Formula Error","")</f>
        <v/>
      </c>
    </row>
    <row r="31" spans="1:16" ht="13.5" thickBot="1">
      <c r="A31" s="219"/>
      <c r="B31" s="127">
        <f>COUNTA(B22:B30)</f>
        <v>0</v>
      </c>
      <c r="C31" s="128" t="s">
        <v>126</v>
      </c>
      <c r="D31" s="190">
        <f>SUM(D22:D30)</f>
        <v>1637129475</v>
      </c>
      <c r="E31" s="209">
        <f>SUM(E22:E30)</f>
        <v>168777186</v>
      </c>
      <c r="F31" s="209">
        <f>SUM(F22:F30)</f>
        <v>0</v>
      </c>
      <c r="G31" s="209">
        <f>SUM(G22:G30)</f>
        <v>40464252</v>
      </c>
      <c r="H31" s="210">
        <f>SUM(H22:H30)</f>
        <v>18599332</v>
      </c>
      <c r="I31" s="190">
        <f>SUM(D31:H31)</f>
        <v>1864970245</v>
      </c>
      <c r="J31" s="223" t="str">
        <f>IF(I31&lt;&gt;'Smmy Sum'!B27,"Formula Error","")</f>
        <v>Formula Error</v>
      </c>
    </row>
    <row r="32" spans="1:16" ht="13.5" thickTop="1">
      <c r="A32" s="219"/>
      <c r="B32" s="220"/>
      <c r="C32" s="220"/>
      <c r="D32" s="220"/>
      <c r="E32" s="220"/>
      <c r="F32" s="220"/>
      <c r="G32" s="220"/>
      <c r="H32" s="222"/>
      <c r="I32" s="220"/>
      <c r="J32" s="223"/>
    </row>
    <row r="33" spans="1:10">
      <c r="A33" s="219"/>
      <c r="B33" s="220"/>
      <c r="C33" s="229" t="s">
        <v>158</v>
      </c>
      <c r="D33" s="220"/>
      <c r="E33" s="220"/>
      <c r="F33" s="220"/>
      <c r="G33" s="220"/>
      <c r="H33" s="222"/>
      <c r="I33" s="220"/>
      <c r="J33" s="223"/>
    </row>
    <row r="34" spans="1:10">
      <c r="A34" s="219"/>
      <c r="B34" s="220"/>
      <c r="C34" s="207" t="s">
        <v>157</v>
      </c>
      <c r="D34" s="220"/>
      <c r="E34" s="220"/>
      <c r="F34" s="220"/>
      <c r="G34" s="220"/>
      <c r="H34" s="222"/>
      <c r="I34" s="220"/>
      <c r="J34" s="223"/>
    </row>
    <row r="35" spans="1:10">
      <c r="A35" s="219">
        <v>1</v>
      </c>
      <c r="B35" s="112"/>
      <c r="C35" s="206" t="s">
        <v>110</v>
      </c>
      <c r="D35" s="226">
        <f>D22/$E6</f>
        <v>88208.041796665872</v>
      </c>
      <c r="E35" s="226">
        <f>E22/$E6</f>
        <v>19403.279672125096</v>
      </c>
      <c r="F35" s="226">
        <f>F22/$E6</f>
        <v>0</v>
      </c>
      <c r="G35" s="226">
        <f>G22/$E6</f>
        <v>0</v>
      </c>
      <c r="H35" s="226">
        <f>H22/$E6</f>
        <v>0</v>
      </c>
      <c r="I35" s="226">
        <f>SUM(D35:H35)</f>
        <v>107611.32146879096</v>
      </c>
      <c r="J35" s="223"/>
    </row>
    <row r="36" spans="1:10">
      <c r="A36" s="219">
        <v>2</v>
      </c>
      <c r="B36" s="112"/>
      <c r="C36" s="206" t="s">
        <v>125</v>
      </c>
      <c r="D36" s="227"/>
      <c r="E36" s="227"/>
      <c r="F36" s="227"/>
      <c r="G36" s="227"/>
      <c r="H36" s="227"/>
      <c r="I36" s="227"/>
      <c r="J36" s="223"/>
    </row>
    <row r="37" spans="1:10">
      <c r="A37" s="219">
        <v>3</v>
      </c>
      <c r="B37" s="112"/>
      <c r="C37" s="206" t="s">
        <v>122</v>
      </c>
      <c r="D37" s="227">
        <f t="shared" ref="D37:H43" si="2">D24/$E8</f>
        <v>43945.934748940745</v>
      </c>
      <c r="E37" s="227">
        <f t="shared" si="2"/>
        <v>3848.4665162268379</v>
      </c>
      <c r="F37" s="227">
        <f t="shared" si="2"/>
        <v>0</v>
      </c>
      <c r="G37" s="227">
        <f t="shared" si="2"/>
        <v>0</v>
      </c>
      <c r="H37" s="227">
        <f t="shared" si="2"/>
        <v>0</v>
      </c>
      <c r="I37" s="227">
        <f>SUM(D37:H37)</f>
        <v>47794.40126516758</v>
      </c>
      <c r="J37" s="223"/>
    </row>
    <row r="38" spans="1:10">
      <c r="A38" s="219">
        <v>4</v>
      </c>
      <c r="B38" s="112"/>
      <c r="C38" s="206" t="s">
        <v>112</v>
      </c>
      <c r="D38" s="227">
        <f t="shared" si="2"/>
        <v>44205.146686172578</v>
      </c>
      <c r="E38" s="227">
        <f t="shared" si="2"/>
        <v>3909.1005512160718</v>
      </c>
      <c r="F38" s="227">
        <f t="shared" si="2"/>
        <v>0</v>
      </c>
      <c r="G38" s="227">
        <f t="shared" si="2"/>
        <v>0</v>
      </c>
      <c r="H38" s="227">
        <f t="shared" si="2"/>
        <v>0</v>
      </c>
      <c r="I38" s="227">
        <f>SUM(D38:H38)</f>
        <v>48114.247237388649</v>
      </c>
      <c r="J38" s="223"/>
    </row>
    <row r="39" spans="1:10">
      <c r="A39" s="219">
        <v>5</v>
      </c>
      <c r="B39" s="112"/>
      <c r="C39" s="206" t="s">
        <v>124</v>
      </c>
      <c r="D39" s="227"/>
      <c r="E39" s="227"/>
      <c r="F39" s="227"/>
      <c r="G39" s="227"/>
      <c r="H39" s="227"/>
      <c r="I39" s="220"/>
      <c r="J39" s="223"/>
    </row>
    <row r="40" spans="1:10">
      <c r="A40" s="219">
        <v>6</v>
      </c>
      <c r="B40" s="112"/>
      <c r="C40" s="206" t="s">
        <v>118</v>
      </c>
      <c r="D40" s="227"/>
      <c r="E40" s="227"/>
      <c r="F40" s="227"/>
      <c r="G40" s="227"/>
      <c r="H40" s="227"/>
      <c r="I40" s="220"/>
      <c r="J40" s="223"/>
    </row>
    <row r="41" spans="1:10">
      <c r="A41" s="219">
        <v>7</v>
      </c>
      <c r="B41" s="112"/>
      <c r="C41" s="206" t="s">
        <v>114</v>
      </c>
      <c r="D41" s="227">
        <f t="shared" si="2"/>
        <v>51966.470000674461</v>
      </c>
      <c r="E41" s="227">
        <f t="shared" si="2"/>
        <v>1795.9663665824116</v>
      </c>
      <c r="F41" s="227">
        <f t="shared" si="2"/>
        <v>0</v>
      </c>
      <c r="G41" s="227">
        <f t="shared" si="2"/>
        <v>0</v>
      </c>
      <c r="H41" s="227">
        <f t="shared" si="2"/>
        <v>5973.6354088714879</v>
      </c>
      <c r="I41" s="227">
        <f>SUM(D41:H41)</f>
        <v>59736.071776128359</v>
      </c>
      <c r="J41" s="223"/>
    </row>
    <row r="42" spans="1:10">
      <c r="A42" s="219">
        <v>8</v>
      </c>
      <c r="B42" s="112"/>
      <c r="C42" s="206" t="s">
        <v>116</v>
      </c>
      <c r="D42" s="227">
        <f t="shared" si="2"/>
        <v>36227.396323275345</v>
      </c>
      <c r="E42" s="227">
        <f t="shared" si="2"/>
        <v>1113.6396330326984</v>
      </c>
      <c r="F42" s="227">
        <f t="shared" si="2"/>
        <v>0</v>
      </c>
      <c r="G42" s="227">
        <f t="shared" si="2"/>
        <v>6026.2800487973427</v>
      </c>
      <c r="H42" s="227">
        <f t="shared" si="2"/>
        <v>0</v>
      </c>
      <c r="I42" s="227">
        <f>SUM(D42:H42)</f>
        <v>43367.316005105386</v>
      </c>
      <c r="J42" s="223"/>
    </row>
    <row r="43" spans="1:10">
      <c r="A43" s="219">
        <v>9</v>
      </c>
      <c r="B43" s="112"/>
      <c r="C43" s="122" t="s">
        <v>120</v>
      </c>
      <c r="D43" s="227">
        <f t="shared" si="2"/>
        <v>29028.817820301152</v>
      </c>
      <c r="E43" s="227">
        <f t="shared" si="2"/>
        <v>2046.8068822318262</v>
      </c>
      <c r="F43" s="227">
        <f t="shared" si="2"/>
        <v>0</v>
      </c>
      <c r="G43" s="227">
        <f t="shared" si="2"/>
        <v>4074.7352216641416</v>
      </c>
      <c r="H43" s="227">
        <f t="shared" si="2"/>
        <v>0</v>
      </c>
      <c r="I43" s="227">
        <f>SUM(D43:H43)</f>
        <v>35150.359924197124</v>
      </c>
      <c r="J43" s="223"/>
    </row>
    <row r="44" spans="1:10" ht="13.5" thickBot="1">
      <c r="A44" s="219"/>
      <c r="B44" s="127">
        <f>COUNTA(B35:B43)</f>
        <v>0</v>
      </c>
      <c r="C44" s="128" t="s">
        <v>126</v>
      </c>
      <c r="D44" s="190">
        <f>SUM(D35:D43)</f>
        <v>293581.80737603013</v>
      </c>
      <c r="E44" s="190">
        <f t="shared" ref="E44:I44" si="3">SUM(E35:E43)</f>
        <v>32117.259621414942</v>
      </c>
      <c r="F44" s="190">
        <f t="shared" si="3"/>
        <v>0</v>
      </c>
      <c r="G44" s="190">
        <f t="shared" si="3"/>
        <v>10101.015270461485</v>
      </c>
      <c r="H44" s="190">
        <f t="shared" si="3"/>
        <v>5973.6354088714879</v>
      </c>
      <c r="I44" s="190">
        <f t="shared" si="3"/>
        <v>341773.71767677809</v>
      </c>
      <c r="J44" s="223"/>
    </row>
    <row r="45" spans="1:10" ht="13.5" thickTop="1">
      <c r="A45" s="219"/>
      <c r="B45" s="220"/>
      <c r="C45" s="220"/>
      <c r="D45" s="220"/>
      <c r="E45" s="220"/>
      <c r="F45" s="220"/>
      <c r="G45" s="220"/>
      <c r="H45" s="222"/>
      <c r="I45" s="220"/>
      <c r="J45" s="223"/>
    </row>
    <row r="46" spans="1:10">
      <c r="A46" s="219"/>
      <c r="B46" s="220"/>
      <c r="C46" s="208" t="s">
        <v>148</v>
      </c>
      <c r="D46" s="252">
        <f>AVERAGE(D35:D43)</f>
        <v>48930.301229338358</v>
      </c>
      <c r="E46" s="252">
        <f t="shared" ref="E46:I46" si="4">AVERAGE(E35:E43)</f>
        <v>5352.8766035691569</v>
      </c>
      <c r="F46" s="252">
        <f t="shared" si="4"/>
        <v>0</v>
      </c>
      <c r="G46" s="252">
        <f t="shared" si="4"/>
        <v>1683.5025450769142</v>
      </c>
      <c r="H46" s="252">
        <f t="shared" si="4"/>
        <v>995.60590147858136</v>
      </c>
      <c r="I46" s="252">
        <f t="shared" si="4"/>
        <v>56962.286279463013</v>
      </c>
      <c r="J46" s="223"/>
    </row>
    <row r="47" spans="1:10" ht="13.5" thickBot="1">
      <c r="A47" s="230"/>
      <c r="B47" s="231"/>
      <c r="C47" s="231"/>
      <c r="D47" s="231"/>
      <c r="E47" s="231"/>
      <c r="F47" s="231"/>
      <c r="G47" s="231"/>
      <c r="H47" s="232"/>
      <c r="I47" s="231"/>
      <c r="J47" s="233"/>
    </row>
    <row r="48" spans="1:10" ht="13.5" thickBot="1">
      <c r="A48" s="220"/>
      <c r="B48" s="220"/>
      <c r="C48" s="220"/>
      <c r="D48" s="220"/>
      <c r="E48" s="220"/>
      <c r="F48" s="220"/>
      <c r="G48" s="220"/>
      <c r="H48" s="222"/>
      <c r="I48" s="220"/>
      <c r="J48" s="220"/>
    </row>
    <row r="49" spans="1:16" s="204" customFormat="1" ht="28.5" customHeight="1">
      <c r="A49" s="234"/>
      <c r="B49" s="235"/>
      <c r="C49" s="235"/>
      <c r="D49" s="236" t="s">
        <v>4</v>
      </c>
      <c r="E49" s="236"/>
      <c r="F49" s="236"/>
      <c r="G49" s="237"/>
      <c r="H49" s="236" t="s">
        <v>6</v>
      </c>
      <c r="I49" s="236" t="s">
        <v>57</v>
      </c>
      <c r="J49" s="235" t="s">
        <v>55</v>
      </c>
      <c r="K49" s="238"/>
      <c r="P49" s="205"/>
    </row>
    <row r="50" spans="1:16" s="110" customFormat="1" ht="66" customHeight="1">
      <c r="A50" s="224"/>
      <c r="B50" s="191"/>
      <c r="C50" s="191" t="s">
        <v>146</v>
      </c>
      <c r="D50" s="194" t="s">
        <v>37</v>
      </c>
      <c r="E50" s="194" t="s">
        <v>38</v>
      </c>
      <c r="F50" s="202" t="s">
        <v>5</v>
      </c>
      <c r="G50" s="201"/>
      <c r="H50" s="203" t="s">
        <v>7</v>
      </c>
      <c r="I50" s="203" t="s">
        <v>159</v>
      </c>
      <c r="J50" s="212" t="s">
        <v>160</v>
      </c>
      <c r="K50" s="225" t="s">
        <v>59</v>
      </c>
      <c r="P50" s="199"/>
    </row>
    <row r="51" spans="1:16">
      <c r="A51" s="219">
        <v>1</v>
      </c>
      <c r="B51" s="112"/>
      <c r="C51" s="206" t="s">
        <v>110</v>
      </c>
      <c r="D51" s="226">
        <f>'SWM Sum'!B$18</f>
        <v>24578595</v>
      </c>
      <c r="E51" s="227">
        <f>'SWM Sum'!B$19</f>
        <v>2448934</v>
      </c>
      <c r="F51" s="226">
        <f>SUM(D51:E51)</f>
        <v>27027529</v>
      </c>
      <c r="G51" s="220"/>
      <c r="H51" s="226">
        <f>'SWM Sum'!B$23</f>
        <v>201008263</v>
      </c>
      <c r="I51" s="226">
        <f>'SWM Sum'!B$26</f>
        <v>665714950</v>
      </c>
      <c r="J51" s="226">
        <f>'SWM Sum'!B$29</f>
        <v>1308148971</v>
      </c>
      <c r="K51" s="223" t="str">
        <f>IF(J51+I51+H51+F51&lt;&gt;'SWM Sum'!B$20+'SWM Sum'!B$23+'SWM Sum'!B$26+'SWM Sum'!B$29,"Formula Error","")</f>
        <v/>
      </c>
    </row>
    <row r="52" spans="1:16">
      <c r="A52" s="219">
        <v>2</v>
      </c>
      <c r="B52" s="112"/>
      <c r="C52" s="206" t="s">
        <v>125</v>
      </c>
      <c r="D52" s="227">
        <f>'MBG Sum'!B$18</f>
        <v>33090062</v>
      </c>
      <c r="E52" s="227">
        <f>'MBG Sum'!B$19</f>
        <v>8278900</v>
      </c>
      <c r="F52" s="227">
        <f t="shared" ref="F52:F59" si="5">SUM(D52:E52)</f>
        <v>41368962</v>
      </c>
      <c r="G52" s="227"/>
      <c r="H52" s="227">
        <f>'MBG Sum'!B$23</f>
        <v>129743832</v>
      </c>
      <c r="I52" s="227">
        <f>'MBG Sum'!B$26</f>
        <v>199548093</v>
      </c>
      <c r="J52" s="227">
        <f>'MBG Sum'!B$29</f>
        <v>1194433196</v>
      </c>
      <c r="K52" s="223" t="str">
        <f>IF(J52+I52+H52+F52&lt;&gt;'MBG Sum'!B$20+'MBG Sum'!B$23+'MBG Sum'!B$26+'MBG Sum'!B$29,"Formula Error","")</f>
        <v/>
      </c>
    </row>
    <row r="53" spans="1:16">
      <c r="A53" s="219">
        <v>3</v>
      </c>
      <c r="B53" s="112"/>
      <c r="C53" s="206" t="s">
        <v>122</v>
      </c>
      <c r="D53" s="227">
        <f>'HSH Sum'!B$18</f>
        <v>45123208</v>
      </c>
      <c r="E53" s="227">
        <f>'HSH Sum'!B$19</f>
        <v>11513734</v>
      </c>
      <c r="F53" s="227">
        <f t="shared" si="5"/>
        <v>56636942</v>
      </c>
      <c r="G53" s="227"/>
      <c r="H53" s="227">
        <f>'HSH Sum'!B$23</f>
        <v>156372343</v>
      </c>
      <c r="I53" s="227">
        <f>'HSH Sum'!B$26</f>
        <v>368873422</v>
      </c>
      <c r="J53" s="227">
        <f>'HSH Sum'!B$29</f>
        <v>71985820</v>
      </c>
      <c r="K53" s="223" t="str">
        <f>IF(J53+I53+H53+F53&lt;&gt;'HSH Sum'!B$20+'HSH Sum'!B$23+'HSH Sum'!B$26+'HSH Sum'!B$29,"Formula Error","")</f>
        <v/>
      </c>
    </row>
    <row r="54" spans="1:16">
      <c r="A54" s="219">
        <v>4</v>
      </c>
      <c r="B54" s="112"/>
      <c r="C54" s="206" t="s">
        <v>112</v>
      </c>
      <c r="D54" s="227">
        <f>'HSSA Sum'!B$18</f>
        <v>43607729</v>
      </c>
      <c r="E54" s="227">
        <f>'HSSA Sum'!B$19</f>
        <v>2340074</v>
      </c>
      <c r="F54" s="227">
        <f t="shared" si="5"/>
        <v>45947803</v>
      </c>
      <c r="G54" s="227"/>
      <c r="H54" s="227">
        <f>'HSSA Sum'!B$23</f>
        <v>103703491</v>
      </c>
      <c r="I54" s="227">
        <f>'HSSA Sum'!B$26</f>
        <v>216393102</v>
      </c>
      <c r="J54" s="227">
        <f>'HSSA Sum'!B$29</f>
        <v>0</v>
      </c>
      <c r="K54" s="223" t="str">
        <f>IF(J54+I54+H54+F54&lt;&gt;'HSSA Sum'!B$20+'HSSA Sum'!B$23+'HSSA Sum'!B$26+'HSSA Sum'!B$29,"Formula Error","")</f>
        <v/>
      </c>
    </row>
    <row r="55" spans="1:16">
      <c r="A55" s="219">
        <v>5</v>
      </c>
      <c r="B55" s="112"/>
      <c r="C55" s="206" t="s">
        <v>124</v>
      </c>
      <c r="D55" s="227">
        <f>'MDA Sum'!B$18</f>
        <v>981336</v>
      </c>
      <c r="E55" s="227">
        <f>'MDA Sum'!B$19</f>
        <v>132149</v>
      </c>
      <c r="F55" s="227">
        <f t="shared" si="5"/>
        <v>1113485</v>
      </c>
      <c r="G55" s="227"/>
      <c r="H55" s="227">
        <f>'MDA Sum'!B$23</f>
        <v>175307623</v>
      </c>
      <c r="I55" s="227">
        <f>'MDA Sum'!B$26</f>
        <v>403758919</v>
      </c>
      <c r="J55" s="227">
        <f>'MDA Sum'!B$29</f>
        <v>3680395600</v>
      </c>
      <c r="K55" s="223" t="str">
        <f>IF(J55+I55+H55+F55&lt;&gt;'MDA Sum'!B$20+'MDA Sum'!B$23+'MDA Sum'!B$26+'MDA Sum'!B$29,"Formula Error","")</f>
        <v/>
      </c>
    </row>
    <row r="56" spans="1:16">
      <c r="A56" s="219">
        <v>6</v>
      </c>
      <c r="B56" s="112"/>
      <c r="C56" s="206" t="s">
        <v>118</v>
      </c>
      <c r="D56" s="227">
        <f>'THC Sum'!B$18</f>
        <v>154040</v>
      </c>
      <c r="E56" s="227">
        <f>'THC Sum'!B$19</f>
        <v>28927</v>
      </c>
      <c r="F56" s="227">
        <f t="shared" si="5"/>
        <v>182967</v>
      </c>
      <c r="G56" s="227"/>
      <c r="H56" s="227">
        <f>'THC Sum'!B$23</f>
        <v>10226513</v>
      </c>
      <c r="I56" s="227">
        <f>'THC Sum'!B$26</f>
        <v>17429053</v>
      </c>
      <c r="J56" s="227">
        <f>'THC Sum'!B$29</f>
        <v>62486035</v>
      </c>
      <c r="K56" s="223" t="str">
        <f>IF(J56+I56+H56+F56&lt;&gt;'THC Sum'!B$20+'THC Sum'!B$23+'THC Sum'!B$26+'THC Sum'!B$29,"Formula Error","")</f>
        <v/>
      </c>
    </row>
    <row r="57" spans="1:16">
      <c r="A57" s="219">
        <v>7</v>
      </c>
      <c r="B57" s="112"/>
      <c r="C57" s="206" t="s">
        <v>114</v>
      </c>
      <c r="D57" s="227">
        <f>'TAMHSC Sum'!B$18</f>
        <v>25280321</v>
      </c>
      <c r="E57" s="227">
        <f>'TAMHSC Sum'!B$19</f>
        <v>12870335</v>
      </c>
      <c r="F57" s="227">
        <f t="shared" si="5"/>
        <v>38150656</v>
      </c>
      <c r="G57" s="227"/>
      <c r="H57" s="227">
        <f>'TAMHSC Sum'!B$23</f>
        <v>42170209</v>
      </c>
      <c r="I57" s="227">
        <f>'TAMHSC Sum'!B$26</f>
        <v>0</v>
      </c>
      <c r="J57" s="227">
        <f>'TAMHSC Sum'!B$29</f>
        <v>0</v>
      </c>
      <c r="K57" s="223" t="str">
        <f>IF(J57+I57+H57+F57&lt;&gt;'TAMHSC Sum'!B$20+'TAMHSC Sum'!B$23+'TAMHSC Sum'!B$26+'TAMHSC Sum'!B$29,"Formula Error","")</f>
        <v/>
      </c>
    </row>
    <row r="58" spans="1:16">
      <c r="A58" s="219">
        <v>8</v>
      </c>
      <c r="B58" s="112"/>
      <c r="C58" s="206" t="s">
        <v>116</v>
      </c>
      <c r="D58" s="227">
        <f>'UNTHSC Sum'!B$18</f>
        <v>21550206</v>
      </c>
      <c r="E58" s="227">
        <f>'UNTHSC Sum'!B$19</f>
        <v>8260676</v>
      </c>
      <c r="F58" s="227">
        <f t="shared" si="5"/>
        <v>29810882</v>
      </c>
      <c r="G58" s="227"/>
      <c r="H58" s="227">
        <f>'UNTHSC Sum'!B$23</f>
        <v>37000670</v>
      </c>
      <c r="I58" s="227">
        <f>'UNTHSC Sum'!B$26</f>
        <v>15378723</v>
      </c>
      <c r="J58" s="227">
        <f>'UNTHSC Sum'!B$29</f>
        <v>0</v>
      </c>
      <c r="K58" s="223" t="str">
        <f>IF(J58+I58+H58+F58&lt;&gt;'UNTHSC Sum'!B$20+'UNTHSC Sum'!B$23+'UNTHSC Sum'!B$26+'UNTHSC Sum'!B$29,"Formula Error","")</f>
        <v/>
      </c>
    </row>
    <row r="59" spans="1:16">
      <c r="A59" s="219">
        <v>9</v>
      </c>
      <c r="B59" s="112"/>
      <c r="C59" s="122" t="s">
        <v>120</v>
      </c>
      <c r="D59" s="227">
        <f>'TTUHSC Sum'!B$18</f>
        <v>38780067</v>
      </c>
      <c r="E59" s="227">
        <f>'TTUHSC Sum'!B$19</f>
        <v>13210744</v>
      </c>
      <c r="F59" s="227">
        <f t="shared" si="5"/>
        <v>51990811</v>
      </c>
      <c r="G59" s="227"/>
      <c r="H59" s="227">
        <f>'TTUHSC Sum'!B$23</f>
        <v>19599396</v>
      </c>
      <c r="I59" s="227">
        <f>'TTUHSC Sum'!B$26</f>
        <v>221537779</v>
      </c>
      <c r="J59" s="227">
        <f>'TTUHSC Sum'!B$29</f>
        <v>0</v>
      </c>
      <c r="K59" s="223" t="str">
        <f>IF(J59+I59+H59+F59&lt;&gt;'TTUHSC Sum'!B$20+'TTUHSC Sum'!B$23+'TTUHSC Sum'!B$26+'TTUHSC Sum'!B$29,"Formula Error","")</f>
        <v/>
      </c>
    </row>
    <row r="60" spans="1:16" ht="13.5" thickBot="1">
      <c r="A60" s="219"/>
      <c r="B60" s="127">
        <f>COUNTA(B51:B59)</f>
        <v>0</v>
      </c>
      <c r="C60" s="128" t="s">
        <v>126</v>
      </c>
      <c r="D60" s="190">
        <f>SUM(D51:D59)</f>
        <v>233145564</v>
      </c>
      <c r="E60" s="209">
        <f>SUM(E51:E59)</f>
        <v>59084473</v>
      </c>
      <c r="F60" s="190">
        <f>SUM(F51:F59)</f>
        <v>292230037</v>
      </c>
      <c r="G60" s="211"/>
      <c r="H60" s="190">
        <f>SUM(H51:H59)</f>
        <v>875132340</v>
      </c>
      <c r="I60" s="190">
        <f>SUM(I51:I59)</f>
        <v>2108634041</v>
      </c>
      <c r="J60" s="190">
        <f>SUM(J51:J59)</f>
        <v>6317449622</v>
      </c>
      <c r="K60" s="223" t="str">
        <f>IF(J60+I60+H60+F60&lt;&gt;'Smmy Sum'!B32+'Smmy Sum'!B35+'Smmy Sum'!B38+'Smmy Sum'!B41,"Formula Error","")</f>
        <v>Formula Error</v>
      </c>
    </row>
    <row r="61" spans="1:16" ht="13.5" thickTop="1">
      <c r="A61" s="219"/>
      <c r="B61" s="220"/>
      <c r="C61" s="220"/>
      <c r="D61" s="220"/>
      <c r="E61" s="220"/>
      <c r="F61" s="220"/>
      <c r="G61" s="220"/>
      <c r="H61" s="222"/>
      <c r="I61" s="220"/>
      <c r="J61" s="220"/>
      <c r="K61" s="223"/>
    </row>
    <row r="62" spans="1:16">
      <c r="A62" s="219"/>
      <c r="B62" s="220"/>
      <c r="C62" s="229" t="s">
        <v>136</v>
      </c>
      <c r="D62" s="220"/>
      <c r="E62" s="220"/>
      <c r="F62" s="220"/>
      <c r="G62" s="220"/>
      <c r="H62" s="222"/>
      <c r="I62" s="220"/>
      <c r="J62" s="220"/>
      <c r="K62" s="223"/>
    </row>
    <row r="63" spans="1:16">
      <c r="A63" s="219"/>
      <c r="B63" s="220"/>
      <c r="C63" s="207" t="s">
        <v>157</v>
      </c>
      <c r="D63" s="220"/>
      <c r="E63" s="220"/>
      <c r="F63" s="220"/>
      <c r="G63" s="220"/>
      <c r="H63" s="222"/>
      <c r="I63" s="220"/>
      <c r="J63" s="220"/>
      <c r="K63" s="223"/>
    </row>
    <row r="64" spans="1:16">
      <c r="A64" s="219">
        <v>1</v>
      </c>
      <c r="B64" s="112"/>
      <c r="C64" s="206" t="s">
        <v>110</v>
      </c>
      <c r="D64" s="226">
        <f>D51/$E6</f>
        <v>11343.897114479296</v>
      </c>
      <c r="E64" s="226">
        <f>E51/$E6</f>
        <v>1130.2702752598445</v>
      </c>
      <c r="F64" s="226">
        <f>F51/$E6</f>
        <v>12474.167389739141</v>
      </c>
      <c r="G64" s="226"/>
      <c r="H64" s="226">
        <f>H51/$E6</f>
        <v>92772.473554008902</v>
      </c>
      <c r="I64" s="226">
        <f>I51/$E6</f>
        <v>307251.16306976572</v>
      </c>
      <c r="J64" s="226">
        <f>J51/$E6</f>
        <v>603757.34810862702</v>
      </c>
      <c r="K64" s="223"/>
    </row>
    <row r="65" spans="1:16">
      <c r="A65" s="219">
        <v>2</v>
      </c>
      <c r="B65" s="112"/>
      <c r="C65" s="206" t="s">
        <v>125</v>
      </c>
      <c r="D65" s="227"/>
      <c r="E65" s="227"/>
      <c r="F65" s="227"/>
      <c r="G65" s="227"/>
      <c r="H65" s="227"/>
      <c r="I65" s="227"/>
      <c r="J65" s="227"/>
      <c r="K65" s="223"/>
    </row>
    <row r="66" spans="1:16">
      <c r="A66" s="219">
        <v>3</v>
      </c>
      <c r="B66" s="112"/>
      <c r="C66" s="206" t="s">
        <v>122</v>
      </c>
      <c r="D66" s="227">
        <f t="shared" ref="D66:J66" si="6">D53/$E8</f>
        <v>9231.633281436365</v>
      </c>
      <c r="E66" s="227">
        <f t="shared" si="6"/>
        <v>2355.5632389435932</v>
      </c>
      <c r="F66" s="227">
        <f t="shared" si="6"/>
        <v>11587.196520379959</v>
      </c>
      <c r="G66" s="227"/>
      <c r="H66" s="227">
        <f t="shared" si="6"/>
        <v>31991.788481328342</v>
      </c>
      <c r="I66" s="227">
        <f t="shared" si="6"/>
        <v>75466.801012297728</v>
      </c>
      <c r="J66" s="227">
        <f t="shared" si="6"/>
        <v>14727.381344506524</v>
      </c>
      <c r="K66" s="223"/>
    </row>
    <row r="67" spans="1:16">
      <c r="A67" s="219">
        <v>4</v>
      </c>
      <c r="B67" s="112"/>
      <c r="C67" s="206" t="s">
        <v>112</v>
      </c>
      <c r="D67" s="227">
        <f t="shared" ref="D67:J67" si="7">D54/$E9</f>
        <v>11392.076334282507</v>
      </c>
      <c r="E67" s="227">
        <f t="shared" si="7"/>
        <v>611.32056741294184</v>
      </c>
      <c r="F67" s="227">
        <f t="shared" si="7"/>
        <v>12003.396901695447</v>
      </c>
      <c r="G67" s="227"/>
      <c r="H67" s="227">
        <f t="shared" si="7"/>
        <v>27091.483842315633</v>
      </c>
      <c r="I67" s="227">
        <f t="shared" si="7"/>
        <v>56530.500274301841</v>
      </c>
      <c r="J67" s="227">
        <f t="shared" si="7"/>
        <v>0</v>
      </c>
      <c r="K67" s="223"/>
    </row>
    <row r="68" spans="1:16">
      <c r="A68" s="219">
        <v>5</v>
      </c>
      <c r="B68" s="112"/>
      <c r="C68" s="206" t="s">
        <v>124</v>
      </c>
      <c r="D68" s="227"/>
      <c r="E68" s="227"/>
      <c r="F68" s="227"/>
      <c r="G68" s="227"/>
      <c r="H68" s="227"/>
      <c r="I68" s="227"/>
      <c r="J68" s="227"/>
      <c r="K68" s="223"/>
    </row>
    <row r="69" spans="1:16">
      <c r="A69" s="219">
        <v>6</v>
      </c>
      <c r="B69" s="112"/>
      <c r="C69" s="206" t="s">
        <v>118</v>
      </c>
      <c r="D69" s="227"/>
      <c r="E69" s="227"/>
      <c r="F69" s="227"/>
      <c r="G69" s="227"/>
      <c r="H69" s="227"/>
      <c r="I69" s="227"/>
      <c r="J69" s="227"/>
      <c r="K69" s="223"/>
    </row>
    <row r="70" spans="1:16">
      <c r="A70" s="219">
        <v>7</v>
      </c>
      <c r="B70" s="112"/>
      <c r="C70" s="206" t="s">
        <v>114</v>
      </c>
      <c r="D70" s="227">
        <f t="shared" ref="D70:J70" si="8">D57/$E12</f>
        <v>8119.4002383116485</v>
      </c>
      <c r="E70" s="227">
        <f t="shared" si="8"/>
        <v>4133.6263517441394</v>
      </c>
      <c r="F70" s="227">
        <f t="shared" si="8"/>
        <v>12253.026590055788</v>
      </c>
      <c r="G70" s="227"/>
      <c r="H70" s="227">
        <f t="shared" si="8"/>
        <v>13544.005434276409</v>
      </c>
      <c r="I70" s="227">
        <f t="shared" si="8"/>
        <v>0</v>
      </c>
      <c r="J70" s="227">
        <f t="shared" si="8"/>
        <v>0</v>
      </c>
      <c r="K70" s="223"/>
    </row>
    <row r="71" spans="1:16">
      <c r="A71" s="219">
        <v>8</v>
      </c>
      <c r="B71" s="112"/>
      <c r="C71" s="206" t="s">
        <v>116</v>
      </c>
      <c r="D71" s="227">
        <f t="shared" ref="D71:J71" si="9">D58/$E13</f>
        <v>7598.2138198024122</v>
      </c>
      <c r="E71" s="227">
        <f t="shared" si="9"/>
        <v>2912.5653158076593</v>
      </c>
      <c r="F71" s="227">
        <f t="shared" si="9"/>
        <v>10510.779135610072</v>
      </c>
      <c r="G71" s="227"/>
      <c r="H71" s="227">
        <f t="shared" si="9"/>
        <v>13045.768663925928</v>
      </c>
      <c r="I71" s="227">
        <f t="shared" si="9"/>
        <v>5422.2602618978781</v>
      </c>
      <c r="J71" s="227">
        <f t="shared" si="9"/>
        <v>0</v>
      </c>
      <c r="K71" s="223"/>
    </row>
    <row r="72" spans="1:16">
      <c r="A72" s="219">
        <v>9</v>
      </c>
      <c r="B72" s="112"/>
      <c r="C72" s="122" t="s">
        <v>120</v>
      </c>
      <c r="D72" s="227">
        <f t="shared" ref="D72:J72" si="10">D59/$E14</f>
        <v>6760.9031142290787</v>
      </c>
      <c r="E72" s="227">
        <f t="shared" si="10"/>
        <v>2303.1564192728988</v>
      </c>
      <c r="F72" s="227">
        <f t="shared" si="10"/>
        <v>9064.0595335019771</v>
      </c>
      <c r="G72" s="227"/>
      <c r="H72" s="227">
        <f t="shared" si="10"/>
        <v>3416.9517410428648</v>
      </c>
      <c r="I72" s="227">
        <f t="shared" si="10"/>
        <v>38622.817747078501</v>
      </c>
      <c r="J72" s="227">
        <f t="shared" si="10"/>
        <v>0</v>
      </c>
      <c r="K72" s="223"/>
    </row>
    <row r="73" spans="1:16" ht="13.5" thickBot="1">
      <c r="A73" s="219"/>
      <c r="B73" s="127">
        <f>COUNTA(B64:B72)</f>
        <v>0</v>
      </c>
      <c r="C73" s="128" t="s">
        <v>126</v>
      </c>
      <c r="D73" s="190">
        <f>SUM(D64:D72)</f>
        <v>54446.123902541302</v>
      </c>
      <c r="E73" s="190">
        <f t="shared" ref="E73" si="11">SUM(E64:E72)</f>
        <v>13446.502168441079</v>
      </c>
      <c r="F73" s="190">
        <f t="shared" ref="F73" si="12">SUM(F64:F72)</f>
        <v>67892.626070982384</v>
      </c>
      <c r="G73" s="190"/>
      <c r="H73" s="190">
        <f t="shared" ref="H73" si="13">SUM(H64:H72)</f>
        <v>181862.47171689812</v>
      </c>
      <c r="I73" s="190">
        <f t="shared" ref="I73:J73" si="14">SUM(I64:I72)</f>
        <v>483293.54236534168</v>
      </c>
      <c r="J73" s="190">
        <f t="shared" si="14"/>
        <v>618484.72945313354</v>
      </c>
      <c r="K73" s="223"/>
    </row>
    <row r="74" spans="1:16" ht="13.5" thickTop="1">
      <c r="A74" s="219"/>
      <c r="B74" s="220"/>
      <c r="C74" s="220"/>
      <c r="D74" s="220"/>
      <c r="E74" s="220"/>
      <c r="F74" s="220"/>
      <c r="G74" s="220"/>
      <c r="H74" s="222"/>
      <c r="I74" s="220"/>
      <c r="J74" s="220"/>
      <c r="K74" s="223"/>
    </row>
    <row r="75" spans="1:16">
      <c r="A75" s="219"/>
      <c r="B75" s="220"/>
      <c r="C75" s="208" t="s">
        <v>148</v>
      </c>
      <c r="D75" s="252">
        <f>AVERAGE(D64:D72)</f>
        <v>9074.3539837568842</v>
      </c>
      <c r="E75" s="252">
        <f t="shared" ref="E75:J75" si="15">AVERAGE(E64:E72)</f>
        <v>2241.0836947401799</v>
      </c>
      <c r="F75" s="252">
        <f t="shared" si="15"/>
        <v>11315.437678497065</v>
      </c>
      <c r="G75" s="252"/>
      <c r="H75" s="252">
        <f t="shared" si="15"/>
        <v>30310.411952816354</v>
      </c>
      <c r="I75" s="252">
        <f t="shared" si="15"/>
        <v>80548.923727556947</v>
      </c>
      <c r="J75" s="252">
        <f t="shared" si="15"/>
        <v>103080.78824218892</v>
      </c>
      <c r="K75" s="223"/>
    </row>
    <row r="76" spans="1:16" ht="13.5" thickBot="1">
      <c r="A76" s="230"/>
      <c r="B76" s="231"/>
      <c r="C76" s="231"/>
      <c r="D76" s="231"/>
      <c r="E76" s="231"/>
      <c r="F76" s="231"/>
      <c r="G76" s="231"/>
      <c r="H76" s="232"/>
      <c r="I76" s="231"/>
      <c r="J76" s="231"/>
      <c r="K76" s="233"/>
    </row>
    <row r="77" spans="1:16" ht="13.5" thickBot="1">
      <c r="H77" s="188"/>
    </row>
    <row r="78" spans="1:16">
      <c r="A78" s="213"/>
      <c r="B78" s="214"/>
      <c r="C78" s="214"/>
      <c r="D78" s="242" t="s">
        <v>8</v>
      </c>
      <c r="E78" s="214"/>
      <c r="F78" s="214"/>
      <c r="G78" s="214"/>
      <c r="H78" s="217"/>
      <c r="I78" s="214"/>
      <c r="J78" s="214"/>
      <c r="K78" s="218"/>
    </row>
    <row r="79" spans="1:16" s="110" customFormat="1" ht="42.75" customHeight="1">
      <c r="A79" s="224"/>
      <c r="B79" s="191"/>
      <c r="C79" s="191"/>
      <c r="D79" s="194" t="s">
        <v>40</v>
      </c>
      <c r="E79" s="194" t="s">
        <v>9</v>
      </c>
      <c r="F79" s="200" t="s">
        <v>10</v>
      </c>
      <c r="G79" s="194" t="s">
        <v>11</v>
      </c>
      <c r="H79" s="194" t="s">
        <v>12</v>
      </c>
      <c r="I79" s="194" t="s">
        <v>41</v>
      </c>
      <c r="J79" s="191" t="s">
        <v>3</v>
      </c>
      <c r="K79" s="225" t="s">
        <v>59</v>
      </c>
      <c r="P79" s="199"/>
    </row>
    <row r="80" spans="1:16">
      <c r="A80" s="219">
        <v>1</v>
      </c>
      <c r="B80" s="112"/>
      <c r="C80" s="206" t="s">
        <v>110</v>
      </c>
      <c r="D80" s="226">
        <f>'SWM Sum'!B$32</f>
        <v>133254944</v>
      </c>
      <c r="E80" s="226">
        <f>'SWM Sum'!B$33</f>
        <v>209031879</v>
      </c>
      <c r="F80" s="226">
        <f>'SWM Sum'!B$34</f>
        <v>172392594</v>
      </c>
      <c r="G80" s="226">
        <f>'SWM Sum'!B$35</f>
        <v>9620654</v>
      </c>
      <c r="H80" s="226">
        <f>'SWM Sum'!B$36</f>
        <v>26351428</v>
      </c>
      <c r="I80" s="226">
        <f>'SWM Sum'!B$37</f>
        <v>139721716</v>
      </c>
      <c r="J80" s="226">
        <f>SUM(D80:I80)</f>
        <v>690373215</v>
      </c>
      <c r="K80" s="223" t="str">
        <f>IF(J80&lt;&gt;'SWM Sum'!B$38,"Formula Error","")</f>
        <v/>
      </c>
    </row>
    <row r="81" spans="1:11">
      <c r="A81" s="219">
        <v>2</v>
      </c>
      <c r="B81" s="112"/>
      <c r="C81" s="206" t="s">
        <v>125</v>
      </c>
      <c r="D81" s="227">
        <f>'MBG Sum'!B$32</f>
        <v>60349285</v>
      </c>
      <c r="E81" s="227">
        <f>'MBG Sum'!B$33</f>
        <v>1046267</v>
      </c>
      <c r="F81" s="227">
        <f>'MBG Sum'!B$34</f>
        <v>133522299</v>
      </c>
      <c r="G81" s="227">
        <f>'MBG Sum'!B$35</f>
        <v>13451815</v>
      </c>
      <c r="H81" s="227">
        <f>'MBG Sum'!B$36</f>
        <v>12933001</v>
      </c>
      <c r="I81" s="227">
        <f>'MBG Sum'!B$37</f>
        <v>55954790</v>
      </c>
      <c r="J81" s="227">
        <f t="shared" ref="J81:J88" si="16">SUM(D81:I81)</f>
        <v>277257457</v>
      </c>
      <c r="K81" s="223" t="str">
        <f>IF(J81&lt;&gt;'MBG Sum'!B$38,"Formula Error","")</f>
        <v/>
      </c>
    </row>
    <row r="82" spans="1:11">
      <c r="A82" s="219">
        <v>3</v>
      </c>
      <c r="B82" s="112"/>
      <c r="C82" s="206" t="s">
        <v>122</v>
      </c>
      <c r="D82" s="227">
        <f>'HSH Sum'!B$32</f>
        <v>57171456</v>
      </c>
      <c r="E82" s="227">
        <f>'HSH Sum'!B$33</f>
        <v>436379382</v>
      </c>
      <c r="F82" s="227">
        <f>'HSH Sum'!B$34</f>
        <v>164397593</v>
      </c>
      <c r="G82" s="227">
        <f>'HSH Sum'!B$35</f>
        <v>37579867</v>
      </c>
      <c r="H82" s="227">
        <f>'HSH Sum'!B$36</f>
        <v>27162590</v>
      </c>
      <c r="I82" s="227">
        <f>'HSH Sum'!B$37</f>
        <v>75969439</v>
      </c>
      <c r="J82" s="227">
        <f t="shared" si="16"/>
        <v>798660327</v>
      </c>
      <c r="K82" s="223" t="str">
        <f>IF(J82&lt;&gt;'HSH Sum'!B$38,"Formula Error","")</f>
        <v/>
      </c>
    </row>
    <row r="83" spans="1:11">
      <c r="A83" s="219">
        <v>4</v>
      </c>
      <c r="B83" s="112"/>
      <c r="C83" s="206" t="s">
        <v>112</v>
      </c>
      <c r="D83" s="227">
        <f>'HSSA Sum'!B$32</f>
        <v>44640215</v>
      </c>
      <c r="E83" s="227">
        <f>'HSSA Sum'!B$33</f>
        <v>166396985</v>
      </c>
      <c r="F83" s="227">
        <f>'HSSA Sum'!B$34</f>
        <v>39685800</v>
      </c>
      <c r="G83" s="227">
        <f>'HSSA Sum'!B$35</f>
        <v>30442161</v>
      </c>
      <c r="H83" s="227">
        <f>'HSSA Sum'!B$36</f>
        <v>5480027</v>
      </c>
      <c r="I83" s="227">
        <f>'HSSA Sum'!B$37</f>
        <v>34002705</v>
      </c>
      <c r="J83" s="227">
        <f t="shared" si="16"/>
        <v>320647893</v>
      </c>
      <c r="K83" s="223" t="str">
        <f>IF(J83&lt;&gt;'HSSA Sum'!B$38,"Formula Error","")</f>
        <v/>
      </c>
    </row>
    <row r="84" spans="1:11">
      <c r="A84" s="219">
        <v>5</v>
      </c>
      <c r="B84" s="112"/>
      <c r="C84" s="206" t="s">
        <v>124</v>
      </c>
      <c r="D84" s="227">
        <f>'MDA Sum'!B$32</f>
        <v>203066911</v>
      </c>
      <c r="E84" s="227">
        <f>'MDA Sum'!B$33</f>
        <v>0</v>
      </c>
      <c r="F84" s="227">
        <f>'MDA Sum'!B$34</f>
        <v>274373028</v>
      </c>
      <c r="G84" s="227">
        <f>'MDA Sum'!B$35</f>
        <v>2031065</v>
      </c>
      <c r="H84" s="227">
        <f>'MDA Sum'!B$36</f>
        <v>44292397</v>
      </c>
      <c r="I84" s="227">
        <f>'MDA Sum'!B$37</f>
        <v>122054502</v>
      </c>
      <c r="J84" s="227">
        <f t="shared" si="16"/>
        <v>645817903</v>
      </c>
      <c r="K84" s="223" t="str">
        <f>IF(J84&lt;&gt;'MDA Sum'!B$38,"Formula Error","")</f>
        <v/>
      </c>
    </row>
    <row r="85" spans="1:11">
      <c r="A85" s="219">
        <v>6</v>
      </c>
      <c r="B85" s="112"/>
      <c r="C85" s="206" t="s">
        <v>118</v>
      </c>
      <c r="D85" s="227">
        <f>'THC Sum'!B$32</f>
        <v>4462614</v>
      </c>
      <c r="E85" s="227">
        <f>'THC Sum'!B$33</f>
        <v>0</v>
      </c>
      <c r="F85" s="227">
        <f>'THC Sum'!B$34</f>
        <v>11330290</v>
      </c>
      <c r="G85" s="227">
        <f>'THC Sum'!B$35</f>
        <v>3679021</v>
      </c>
      <c r="H85" s="227">
        <f>'THC Sum'!B$36</f>
        <v>164836</v>
      </c>
      <c r="I85" s="227">
        <f>'THC Sum'!B$37</f>
        <v>23191727</v>
      </c>
      <c r="J85" s="227">
        <f t="shared" si="16"/>
        <v>42828488</v>
      </c>
      <c r="K85" s="223" t="str">
        <f>IF(J85&lt;&gt;'THC Sum'!B$38,"Formula Error","")</f>
        <v/>
      </c>
    </row>
    <row r="86" spans="1:11">
      <c r="A86" s="219">
        <v>7</v>
      </c>
      <c r="B86" s="112"/>
      <c r="C86" s="206" t="s">
        <v>114</v>
      </c>
      <c r="D86" s="227">
        <f>'TAMHSC Sum'!B$32</f>
        <v>11274793</v>
      </c>
      <c r="E86" s="227">
        <f>'TAMHSC Sum'!B$33</f>
        <v>0</v>
      </c>
      <c r="F86" s="227">
        <f>'TAMHSC Sum'!B$34</f>
        <v>13072394</v>
      </c>
      <c r="G86" s="227">
        <f>'TAMHSC Sum'!B$35</f>
        <v>40717912</v>
      </c>
      <c r="H86" s="227">
        <f>'TAMHSC Sum'!B$36</f>
        <v>1966031</v>
      </c>
      <c r="I86" s="227">
        <f>'TAMHSC Sum'!B$37</f>
        <v>11819848</v>
      </c>
      <c r="J86" s="227">
        <f t="shared" si="16"/>
        <v>78850978</v>
      </c>
      <c r="K86" s="223" t="str">
        <f>IF(J86&lt;&gt;'TAMHSC Sum'!B$38,"Formula Error","")</f>
        <v/>
      </c>
    </row>
    <row r="87" spans="1:11">
      <c r="A87" s="219">
        <v>8</v>
      </c>
      <c r="B87" s="112"/>
      <c r="C87" s="206" t="s">
        <v>116</v>
      </c>
      <c r="D87" s="227">
        <f>'UNTHSC Sum'!B$32</f>
        <v>8254807</v>
      </c>
      <c r="E87" s="227">
        <f>'UNTHSC Sum'!B$33</f>
        <v>799557</v>
      </c>
      <c r="F87" s="227">
        <f>'UNTHSC Sum'!B$34</f>
        <v>9005129</v>
      </c>
      <c r="G87" s="227">
        <f>'UNTHSC Sum'!B$35</f>
        <v>59689998</v>
      </c>
      <c r="H87" s="227">
        <f>'UNTHSC Sum'!B$36</f>
        <v>625243</v>
      </c>
      <c r="I87" s="227">
        <f>'UNTHSC Sum'!B$37</f>
        <v>564871</v>
      </c>
      <c r="J87" s="227">
        <f t="shared" si="16"/>
        <v>78939605</v>
      </c>
      <c r="K87" s="223" t="str">
        <f>IF(J87&lt;&gt;'UNTHSC Sum'!B$38,"Formula Error","")</f>
        <v/>
      </c>
    </row>
    <row r="88" spans="1:11">
      <c r="A88" s="219">
        <v>9</v>
      </c>
      <c r="B88" s="112"/>
      <c r="C88" s="122" t="s">
        <v>120</v>
      </c>
      <c r="D88" s="227">
        <f>'TTUHSC Sum'!B$32</f>
        <v>12689174</v>
      </c>
      <c r="E88" s="227">
        <f>'TTUHSC Sum'!B$33</f>
        <v>58927560</v>
      </c>
      <c r="F88" s="227">
        <f>'TTUHSC Sum'!B$34</f>
        <v>87600256</v>
      </c>
      <c r="G88" s="227">
        <f>'TTUHSC Sum'!B$35</f>
        <v>11084298</v>
      </c>
      <c r="H88" s="227">
        <f>'TTUHSC Sum'!B$36</f>
        <v>828063</v>
      </c>
      <c r="I88" s="227">
        <f>'TTUHSC Sum'!B$37</f>
        <v>22844915</v>
      </c>
      <c r="J88" s="227">
        <f t="shared" si="16"/>
        <v>193974266</v>
      </c>
      <c r="K88" s="223" t="str">
        <f>IF(J88&lt;&gt;'TTUHSC Sum'!B$38,"Formula Error","")</f>
        <v/>
      </c>
    </row>
    <row r="89" spans="1:11" ht="13.5" thickBot="1">
      <c r="A89" s="219"/>
      <c r="B89" s="127">
        <f>COUNTA(B80:B88)</f>
        <v>0</v>
      </c>
      <c r="C89" s="128" t="s">
        <v>126</v>
      </c>
      <c r="D89" s="190">
        <f t="shared" ref="D89:I89" si="17">SUM(D80:D88)</f>
        <v>535164199</v>
      </c>
      <c r="E89" s="190">
        <f t="shared" si="17"/>
        <v>872581630</v>
      </c>
      <c r="F89" s="190">
        <f t="shared" si="17"/>
        <v>905379383</v>
      </c>
      <c r="G89" s="190">
        <f t="shared" si="17"/>
        <v>208296791</v>
      </c>
      <c r="H89" s="190">
        <f t="shared" si="17"/>
        <v>119803616</v>
      </c>
      <c r="I89" s="190">
        <f t="shared" si="17"/>
        <v>486124513</v>
      </c>
      <c r="J89" s="190">
        <f>SUM(D89:I89)</f>
        <v>3127350132</v>
      </c>
      <c r="K89" s="223"/>
    </row>
    <row r="90" spans="1:11" ht="13.5" thickTop="1">
      <c r="A90" s="219"/>
      <c r="B90" s="207"/>
      <c r="C90" s="208"/>
      <c r="D90" s="220"/>
      <c r="E90" s="220"/>
      <c r="F90" s="220"/>
      <c r="G90" s="220"/>
      <c r="H90" s="222"/>
      <c r="I90" s="220"/>
      <c r="J90" s="220"/>
      <c r="K90" s="223"/>
    </row>
    <row r="91" spans="1:11">
      <c r="A91" s="219"/>
      <c r="B91" s="220"/>
      <c r="C91" s="229" t="s">
        <v>136</v>
      </c>
      <c r="D91" s="220"/>
      <c r="E91" s="220"/>
      <c r="F91" s="220"/>
      <c r="G91" s="220"/>
      <c r="H91" s="222"/>
      <c r="I91" s="220"/>
      <c r="J91" s="220"/>
      <c r="K91" s="223"/>
    </row>
    <row r="92" spans="1:11">
      <c r="A92" s="219"/>
      <c r="B92" s="220"/>
      <c r="C92" s="207" t="s">
        <v>157</v>
      </c>
      <c r="D92" s="220"/>
      <c r="E92" s="220"/>
      <c r="F92" s="220"/>
      <c r="G92" s="220"/>
      <c r="H92" s="222"/>
      <c r="I92" s="220"/>
      <c r="J92" s="220"/>
      <c r="K92" s="223"/>
    </row>
    <row r="93" spans="1:11">
      <c r="A93" s="219">
        <v>1</v>
      </c>
      <c r="B93" s="112"/>
      <c r="C93" s="206" t="s">
        <v>110</v>
      </c>
      <c r="D93" s="226">
        <f t="shared" ref="D93:J93" si="18">D80/$E6</f>
        <v>61501.903372902329</v>
      </c>
      <c r="E93" s="226">
        <f t="shared" si="18"/>
        <v>96475.658149796014</v>
      </c>
      <c r="F93" s="226">
        <f t="shared" si="18"/>
        <v>79565.322982627811</v>
      </c>
      <c r="G93" s="226">
        <f t="shared" si="18"/>
        <v>4440.2745213875614</v>
      </c>
      <c r="H93" s="226">
        <f t="shared" si="18"/>
        <v>12162.122694629572</v>
      </c>
      <c r="I93" s="226">
        <f t="shared" si="18"/>
        <v>64486.549005852277</v>
      </c>
      <c r="J93" s="226">
        <f t="shared" si="18"/>
        <v>318631.83072719554</v>
      </c>
      <c r="K93" s="223"/>
    </row>
    <row r="94" spans="1:11">
      <c r="A94" s="219">
        <v>2</v>
      </c>
      <c r="B94" s="112"/>
      <c r="C94" s="206" t="s">
        <v>125</v>
      </c>
      <c r="D94" s="227"/>
      <c r="E94" s="227"/>
      <c r="F94" s="227"/>
      <c r="G94" s="227"/>
      <c r="H94" s="227"/>
      <c r="I94" s="227"/>
      <c r="J94" s="227"/>
      <c r="K94" s="223"/>
    </row>
    <row r="95" spans="1:11">
      <c r="A95" s="219">
        <v>3</v>
      </c>
      <c r="B95" s="112"/>
      <c r="C95" s="206" t="s">
        <v>122</v>
      </c>
      <c r="D95" s="227">
        <f t="shared" ref="D95:J95" si="19">D82/$E8</f>
        <v>11696.551272635023</v>
      </c>
      <c r="E95" s="227">
        <f t="shared" si="19"/>
        <v>89277.660094642051</v>
      </c>
      <c r="F95" s="227">
        <f t="shared" si="19"/>
        <v>33633.652353060315</v>
      </c>
      <c r="G95" s="227">
        <f t="shared" si="19"/>
        <v>7688.3618493869535</v>
      </c>
      <c r="H95" s="227">
        <f t="shared" si="19"/>
        <v>5557.1197387829916</v>
      </c>
      <c r="I95" s="227">
        <f t="shared" si="19"/>
        <v>15542.379022441175</v>
      </c>
      <c r="J95" s="227">
        <f t="shared" si="19"/>
        <v>163395.72433094852</v>
      </c>
      <c r="K95" s="223"/>
    </row>
    <row r="96" spans="1:11">
      <c r="A96" s="219">
        <v>4</v>
      </c>
      <c r="B96" s="112"/>
      <c r="C96" s="206" t="s">
        <v>112</v>
      </c>
      <c r="D96" s="227">
        <f t="shared" ref="D96:J96" si="20">D83/$E9</f>
        <v>11661.802816165522</v>
      </c>
      <c r="E96" s="227">
        <f t="shared" si="20"/>
        <v>43469.522453564619</v>
      </c>
      <c r="F96" s="227">
        <f t="shared" si="20"/>
        <v>10367.512212962722</v>
      </c>
      <c r="G96" s="227">
        <f t="shared" si="20"/>
        <v>7952.7053998275824</v>
      </c>
      <c r="H96" s="227">
        <f t="shared" si="20"/>
        <v>1431.6014002455656</v>
      </c>
      <c r="I96" s="227">
        <f t="shared" si="20"/>
        <v>8882.8613600146309</v>
      </c>
      <c r="J96" s="227">
        <f t="shared" si="20"/>
        <v>83766.005642780641</v>
      </c>
      <c r="K96" s="223"/>
    </row>
    <row r="97" spans="1:17">
      <c r="A97" s="219">
        <v>5</v>
      </c>
      <c r="B97" s="112"/>
      <c r="C97" s="206" t="s">
        <v>124</v>
      </c>
      <c r="D97" s="227"/>
      <c r="E97" s="227"/>
      <c r="F97" s="227"/>
      <c r="G97" s="227"/>
      <c r="H97" s="227"/>
      <c r="I97" s="227"/>
      <c r="J97" s="227"/>
      <c r="K97" s="223"/>
    </row>
    <row r="98" spans="1:17">
      <c r="A98" s="219">
        <v>6</v>
      </c>
      <c r="B98" s="112"/>
      <c r="C98" s="206" t="s">
        <v>118</v>
      </c>
      <c r="D98" s="227"/>
      <c r="E98" s="227"/>
      <c r="F98" s="227"/>
      <c r="G98" s="227"/>
      <c r="H98" s="227"/>
      <c r="I98" s="227"/>
      <c r="J98" s="227"/>
      <c r="K98" s="223"/>
    </row>
    <row r="99" spans="1:17">
      <c r="A99" s="219">
        <v>7</v>
      </c>
      <c r="B99" s="112"/>
      <c r="C99" s="206" t="s">
        <v>114</v>
      </c>
      <c r="D99" s="227">
        <f t="shared" ref="D99:J99" si="21">D86/$E12</f>
        <v>3621.1785827843919</v>
      </c>
      <c r="E99" s="227">
        <f t="shared" si="21"/>
        <v>0</v>
      </c>
      <c r="F99" s="227">
        <f t="shared" si="21"/>
        <v>4198.5225962480363</v>
      </c>
      <c r="G99" s="227">
        <f t="shared" si="21"/>
        <v>13077.564339327524</v>
      </c>
      <c r="H99" s="227">
        <f t="shared" si="21"/>
        <v>631.43947301650519</v>
      </c>
      <c r="I99" s="227">
        <f t="shared" si="21"/>
        <v>3796.236474529238</v>
      </c>
      <c r="J99" s="227">
        <f t="shared" si="21"/>
        <v>25324.941465905697</v>
      </c>
      <c r="K99" s="223"/>
    </row>
    <row r="100" spans="1:17">
      <c r="A100" s="219">
        <v>8</v>
      </c>
      <c r="B100" s="112"/>
      <c r="C100" s="206" t="s">
        <v>116</v>
      </c>
      <c r="D100" s="227">
        <f t="shared" ref="D100:J100" si="22">D87/$E13</f>
        <v>2910.4960122980583</v>
      </c>
      <c r="E100" s="227">
        <f t="shared" si="22"/>
        <v>281.90937233359892</v>
      </c>
      <c r="F100" s="227">
        <f t="shared" si="22"/>
        <v>3175.0460119454765</v>
      </c>
      <c r="G100" s="227">
        <f t="shared" si="22"/>
        <v>21045.616348520212</v>
      </c>
      <c r="H100" s="227">
        <f t="shared" si="22"/>
        <v>220.44940096325388</v>
      </c>
      <c r="I100" s="227">
        <f t="shared" si="22"/>
        <v>199.1633230144347</v>
      </c>
      <c r="J100" s="227">
        <f t="shared" si="22"/>
        <v>27832.680469075032</v>
      </c>
      <c r="K100" s="223"/>
    </row>
    <row r="101" spans="1:17">
      <c r="A101" s="219">
        <v>9</v>
      </c>
      <c r="B101" s="112"/>
      <c r="C101" s="122" t="s">
        <v>120</v>
      </c>
      <c r="D101" s="227">
        <f t="shared" ref="D101:J101" si="23">D88/$E14</f>
        <v>2212.2260906252341</v>
      </c>
      <c r="E101" s="227">
        <f t="shared" si="23"/>
        <v>10273.409891682779</v>
      </c>
      <c r="F101" s="227">
        <f t="shared" si="23"/>
        <v>15272.197533791381</v>
      </c>
      <c r="G101" s="227">
        <f t="shared" si="23"/>
        <v>1932.4325785007836</v>
      </c>
      <c r="H101" s="227">
        <f t="shared" si="23"/>
        <v>144.36420946559667</v>
      </c>
      <c r="I101" s="227">
        <f t="shared" si="23"/>
        <v>3982.774371374825</v>
      </c>
      <c r="J101" s="227">
        <f t="shared" si="23"/>
        <v>33817.404675440601</v>
      </c>
      <c r="K101" s="223"/>
    </row>
    <row r="102" spans="1:17" ht="13.5" thickBot="1">
      <c r="A102" s="219"/>
      <c r="B102" s="127">
        <f>COUNTA(B93:B101)</f>
        <v>0</v>
      </c>
      <c r="C102" s="128" t="s">
        <v>126</v>
      </c>
      <c r="D102" s="190">
        <f>SUM(D93:D101)</f>
        <v>93604.158147410548</v>
      </c>
      <c r="E102" s="190">
        <f t="shared" ref="E102" si="24">SUM(E93:E101)</f>
        <v>239778.15996201907</v>
      </c>
      <c r="F102" s="190">
        <f t="shared" ref="F102" si="25">SUM(F93:F101)</f>
        <v>146212.25369063576</v>
      </c>
      <c r="G102" s="190">
        <f t="shared" ref="G102" si="26">SUM(G93:G101)</f>
        <v>56136.955036950618</v>
      </c>
      <c r="H102" s="190">
        <f t="shared" ref="H102" si="27">SUM(H93:H101)</f>
        <v>20147.096917103485</v>
      </c>
      <c r="I102" s="190">
        <f t="shared" ref="I102" si="28">SUM(I93:I101)</f>
        <v>96889.963557226583</v>
      </c>
      <c r="J102" s="190">
        <f t="shared" ref="J102" si="29">SUM(J93:J101)</f>
        <v>652768.58731134608</v>
      </c>
      <c r="K102" s="223"/>
    </row>
    <row r="103" spans="1:17" ht="13.5" thickTop="1">
      <c r="A103" s="219"/>
      <c r="B103" s="220"/>
      <c r="C103" s="220"/>
      <c r="D103" s="220"/>
      <c r="E103" s="220"/>
      <c r="F103" s="220"/>
      <c r="G103" s="220"/>
      <c r="H103" s="222"/>
      <c r="I103" s="220"/>
      <c r="J103" s="220"/>
      <c r="K103" s="223"/>
    </row>
    <row r="104" spans="1:17">
      <c r="A104" s="219"/>
      <c r="B104" s="220"/>
      <c r="C104" s="208" t="s">
        <v>148</v>
      </c>
      <c r="D104" s="252">
        <f>AVERAGE(D93:D101)</f>
        <v>15600.693024568425</v>
      </c>
      <c r="E104" s="252">
        <f t="shared" ref="E104:J104" si="30">AVERAGE(E93:E101)</f>
        <v>39963.026660336509</v>
      </c>
      <c r="F104" s="252">
        <f t="shared" si="30"/>
        <v>24368.708948439293</v>
      </c>
      <c r="G104" s="252">
        <f t="shared" si="30"/>
        <v>9356.1591728251024</v>
      </c>
      <c r="H104" s="252">
        <f t="shared" si="30"/>
        <v>3357.849486183914</v>
      </c>
      <c r="I104" s="252">
        <f t="shared" si="30"/>
        <v>16148.327259537764</v>
      </c>
      <c r="J104" s="252">
        <f t="shared" si="30"/>
        <v>108794.76455189101</v>
      </c>
      <c r="K104" s="223"/>
    </row>
    <row r="105" spans="1:17" ht="13.5" thickBot="1">
      <c r="A105" s="230"/>
      <c r="B105" s="240"/>
      <c r="C105" s="241"/>
      <c r="D105" s="231"/>
      <c r="E105" s="231"/>
      <c r="F105" s="231"/>
      <c r="G105" s="231"/>
      <c r="H105" s="232"/>
      <c r="I105" s="231"/>
      <c r="J105" s="231"/>
      <c r="K105" s="233"/>
    </row>
    <row r="106" spans="1:17">
      <c r="B106" s="207"/>
      <c r="C106" s="208"/>
      <c r="H106" s="188"/>
    </row>
    <row r="107" spans="1:17" ht="13.5" thickBot="1">
      <c r="B107" s="207"/>
      <c r="C107" s="208"/>
      <c r="H107" s="188"/>
    </row>
    <row r="108" spans="1:17">
      <c r="A108" s="213"/>
      <c r="B108" s="243"/>
      <c r="C108" s="244"/>
      <c r="D108" s="214"/>
      <c r="E108" s="214"/>
      <c r="F108" s="214"/>
      <c r="G108" s="214"/>
      <c r="H108" s="217"/>
      <c r="I108" s="214"/>
      <c r="J108" s="214"/>
      <c r="K108" s="214"/>
      <c r="L108" s="214"/>
      <c r="M108" s="214"/>
      <c r="N108" s="214"/>
      <c r="O108" s="214"/>
      <c r="P108" s="214"/>
      <c r="Q108" s="245"/>
    </row>
    <row r="109" spans="1:17">
      <c r="A109" s="219"/>
      <c r="B109" s="220"/>
      <c r="C109" s="246" t="s">
        <v>75</v>
      </c>
      <c r="D109" s="220"/>
      <c r="E109" s="220"/>
      <c r="F109" s="220"/>
      <c r="G109" s="220"/>
      <c r="H109" s="220"/>
      <c r="I109" s="220"/>
      <c r="J109" s="220"/>
      <c r="K109" s="220"/>
      <c r="L109" s="220"/>
      <c r="M109" s="220"/>
      <c r="N109" s="220"/>
      <c r="O109" s="220"/>
      <c r="P109" s="220"/>
      <c r="Q109" s="247"/>
    </row>
    <row r="110" spans="1:17" s="110" customFormat="1" ht="42" customHeight="1">
      <c r="A110" s="224"/>
      <c r="B110" s="191"/>
      <c r="C110" s="191" t="s">
        <v>146</v>
      </c>
      <c r="D110" s="192" t="s">
        <v>14</v>
      </c>
      <c r="E110" s="192" t="s">
        <v>15</v>
      </c>
      <c r="F110" s="192" t="s">
        <v>16</v>
      </c>
      <c r="G110" s="193" t="s">
        <v>55</v>
      </c>
      <c r="H110" s="192" t="s">
        <v>17</v>
      </c>
      <c r="I110" s="192" t="s">
        <v>18</v>
      </c>
      <c r="J110" s="192" t="s">
        <v>19</v>
      </c>
      <c r="K110" s="192" t="s">
        <v>20</v>
      </c>
      <c r="L110" s="192" t="s">
        <v>21</v>
      </c>
      <c r="M110" s="192" t="s">
        <v>22</v>
      </c>
      <c r="N110" s="192" t="s">
        <v>65</v>
      </c>
      <c r="O110" s="194" t="s">
        <v>47</v>
      </c>
      <c r="P110" s="189" t="s">
        <v>72</v>
      </c>
      <c r="Q110" s="239" t="s">
        <v>59</v>
      </c>
    </row>
    <row r="111" spans="1:17">
      <c r="A111" s="219">
        <v>1</v>
      </c>
      <c r="B111" s="112"/>
      <c r="C111" s="206" t="s">
        <v>110</v>
      </c>
      <c r="D111" s="226">
        <f>'SWM Sum'!$B$42</f>
        <v>951791832</v>
      </c>
      <c r="E111" s="226">
        <f>'SWM Sum'!$B$43</f>
        <v>363136707</v>
      </c>
      <c r="F111" s="226">
        <f>'SWM Sum'!$B$44</f>
        <v>31194857</v>
      </c>
      <c r="G111" s="226">
        <f>'SWM Sum'!$B$45</f>
        <v>1210667716</v>
      </c>
      <c r="H111" s="226">
        <f>'SWM Sum'!$B$46</f>
        <v>23866871</v>
      </c>
      <c r="I111" s="226">
        <f>'SWM Sum'!$B$47</f>
        <v>4004422</v>
      </c>
      <c r="J111" s="226">
        <f>'SWM Sum'!$B$48</f>
        <v>70995819</v>
      </c>
      <c r="K111" s="226">
        <f>'SWM Sum'!$B$49</f>
        <v>83724272</v>
      </c>
      <c r="L111" s="226">
        <f>'SWM Sum'!$B$50</f>
        <v>4460128</v>
      </c>
      <c r="M111" s="226">
        <f>'SWM Sum'!$B$51</f>
        <v>24066743</v>
      </c>
      <c r="N111" s="226">
        <f>'SWM Sum'!$B$52</f>
        <v>14443657</v>
      </c>
      <c r="O111" s="226">
        <f>'SWM Sum'!$B$53</f>
        <v>7759542</v>
      </c>
      <c r="P111" s="226">
        <f>SUM(D111:O111)</f>
        <v>2790112566</v>
      </c>
      <c r="Q111" s="228" t="str">
        <f>IF(P111&lt;&gt;'SWM Sum'!$B$54,"Formula Error","")</f>
        <v/>
      </c>
    </row>
    <row r="112" spans="1:17">
      <c r="A112" s="219">
        <v>2</v>
      </c>
      <c r="B112" s="112"/>
      <c r="C112" s="206" t="s">
        <v>125</v>
      </c>
      <c r="D112" s="227">
        <f>'MBG Sum'!$B$42</f>
        <v>337210597</v>
      </c>
      <c r="E112" s="227">
        <f>'MBG Sum'!$B$43</f>
        <v>110635770</v>
      </c>
      <c r="F112" s="227">
        <f>'MBG Sum'!$B$44</f>
        <v>18195325</v>
      </c>
      <c r="G112" s="227">
        <f>'MBG Sum'!$B$45</f>
        <v>1289997415</v>
      </c>
      <c r="H112" s="227">
        <f>'MBG Sum'!$B$46</f>
        <v>35259763</v>
      </c>
      <c r="I112" s="227">
        <f>'MBG Sum'!$B$47</f>
        <v>6718483</v>
      </c>
      <c r="J112" s="227">
        <f>'MBG Sum'!$B$48</f>
        <v>87090538</v>
      </c>
      <c r="K112" s="227">
        <f>'MBG Sum'!$B$49</f>
        <v>59056075</v>
      </c>
      <c r="L112" s="227">
        <f>'MBG Sum'!$B$50</f>
        <v>8013307</v>
      </c>
      <c r="M112" s="227">
        <f>'MBG Sum'!$B$51</f>
        <v>11935905</v>
      </c>
      <c r="N112" s="227">
        <f>'MBG Sum'!$B$52</f>
        <v>18641466</v>
      </c>
      <c r="O112" s="227">
        <f>'MBG Sum'!$B$53</f>
        <v>4064781</v>
      </c>
      <c r="P112" s="227">
        <f t="shared" ref="P112:P119" si="31">SUM(D112:O112)</f>
        <v>1986819425</v>
      </c>
      <c r="Q112" s="228" t="str">
        <f>IF(P112&lt;&gt;'MBG Sum'!$B$54,"Formula Error","")</f>
        <v/>
      </c>
    </row>
    <row r="113" spans="1:17">
      <c r="A113" s="219">
        <v>3</v>
      </c>
      <c r="B113" s="112"/>
      <c r="C113" s="206" t="s">
        <v>122</v>
      </c>
      <c r="D113" s="227">
        <f>'HSH Sum'!$B$42</f>
        <v>717084884</v>
      </c>
      <c r="E113" s="227">
        <f>'HSH Sum'!$B$43</f>
        <v>199048552</v>
      </c>
      <c r="F113" s="227">
        <f>'HSH Sum'!$B$44</f>
        <v>31435559</v>
      </c>
      <c r="G113" s="227">
        <f>'HSH Sum'!$B$45</f>
        <v>430638402</v>
      </c>
      <c r="H113" s="227">
        <f>'HSH Sum'!$B$46</f>
        <v>55340893</v>
      </c>
      <c r="I113" s="227">
        <f>'HSH Sum'!$B$47</f>
        <v>9150310</v>
      </c>
      <c r="J113" s="227">
        <f>'HSH Sum'!$B$48</f>
        <v>77137846</v>
      </c>
      <c r="K113" s="227">
        <f>'HSH Sum'!$B$49</f>
        <v>43942794</v>
      </c>
      <c r="L113" s="227">
        <f>'HSH Sum'!$B$50</f>
        <v>9668012</v>
      </c>
      <c r="M113" s="227">
        <f>'HSH Sum'!$B$51</f>
        <v>17062069</v>
      </c>
      <c r="N113" s="227">
        <f>'HSH Sum'!$B$52</f>
        <v>14064666</v>
      </c>
      <c r="O113" s="227">
        <f>'HSH Sum'!$B$53</f>
        <v>2951837</v>
      </c>
      <c r="P113" s="227">
        <f t="shared" si="31"/>
        <v>1607525824</v>
      </c>
      <c r="Q113" s="228" t="str">
        <f>IF(P113&lt;&gt;'HSH Sum'!$B$54,"Formula Error","")</f>
        <v/>
      </c>
    </row>
    <row r="114" spans="1:17">
      <c r="A114" s="219">
        <v>4</v>
      </c>
      <c r="B114" s="112"/>
      <c r="C114" s="206" t="s">
        <v>112</v>
      </c>
      <c r="D114" s="227">
        <f>'HSSA Sum'!$B$42</f>
        <v>380969177</v>
      </c>
      <c r="E114" s="227">
        <f>'HSSA Sum'!$B$43</f>
        <v>126561477</v>
      </c>
      <c r="F114" s="227">
        <f>'HSSA Sum'!$B$44</f>
        <v>29457888</v>
      </c>
      <c r="G114" s="227">
        <f>'HSSA Sum'!$B$45</f>
        <v>131112226</v>
      </c>
      <c r="H114" s="227">
        <f>'HSSA Sum'!$B$46</f>
        <v>43260128</v>
      </c>
      <c r="I114" s="227">
        <f>'HSSA Sum'!$B$47</f>
        <v>2118896</v>
      </c>
      <c r="J114" s="227">
        <f>'HSSA Sum'!$B$48</f>
        <v>47841835</v>
      </c>
      <c r="K114" s="227">
        <f>'HSSA Sum'!$B$49</f>
        <v>37591395</v>
      </c>
      <c r="L114" s="227">
        <f>'HSSA Sum'!$B$50</f>
        <v>4882941</v>
      </c>
      <c r="M114" s="227">
        <f>'HSSA Sum'!$B$51</f>
        <v>5845168</v>
      </c>
      <c r="N114" s="227">
        <f>'HSSA Sum'!$B$52</f>
        <v>28235559</v>
      </c>
      <c r="O114" s="227">
        <f>'HSSA Sum'!$B$53</f>
        <v>5867887</v>
      </c>
      <c r="P114" s="227">
        <f t="shared" si="31"/>
        <v>843744577</v>
      </c>
      <c r="Q114" s="228" t="str">
        <f>IF(P114&lt;&gt;'HSSA Sum'!$B$54,"Formula Error","")</f>
        <v/>
      </c>
    </row>
    <row r="115" spans="1:17">
      <c r="A115" s="219">
        <v>5</v>
      </c>
      <c r="B115" s="112"/>
      <c r="C115" s="206" t="s">
        <v>124</v>
      </c>
      <c r="D115" s="227">
        <f>'MDA Sum'!$B$42</f>
        <v>77333871</v>
      </c>
      <c r="E115" s="227">
        <f>'MDA Sum'!$B$43</f>
        <v>750400862</v>
      </c>
      <c r="F115" s="227">
        <f>'MDA Sum'!$B$44</f>
        <v>15550812</v>
      </c>
      <c r="G115" s="227">
        <f>'MDA Sum'!$B$45</f>
        <v>2723124887</v>
      </c>
      <c r="H115" s="227">
        <f>'MDA Sum'!$B$46</f>
        <v>141247694</v>
      </c>
      <c r="I115" s="227">
        <f>'MDA Sum'!$B$47</f>
        <v>271580</v>
      </c>
      <c r="J115" s="227">
        <f>'MDA Sum'!$B$48</f>
        <v>132530406</v>
      </c>
      <c r="K115" s="227">
        <f>'MDA Sum'!$B$49</f>
        <v>207402597</v>
      </c>
      <c r="L115" s="227">
        <f>'MDA Sum'!$B$50</f>
        <v>2812722</v>
      </c>
      <c r="M115" s="227">
        <f>'MDA Sum'!$B$51</f>
        <v>22631517</v>
      </c>
      <c r="N115" s="227">
        <f>'MDA Sum'!$B$52</f>
        <v>81859203</v>
      </c>
      <c r="O115" s="227">
        <f>'MDA Sum'!$B$53</f>
        <v>3942822</v>
      </c>
      <c r="P115" s="227">
        <f t="shared" si="31"/>
        <v>4159108973</v>
      </c>
      <c r="Q115" s="228" t="str">
        <f>IF(P115&lt;&gt;'MDA Sum'!$B$54,"Formula Error","")</f>
        <v/>
      </c>
    </row>
    <row r="116" spans="1:17">
      <c r="A116" s="219">
        <v>6</v>
      </c>
      <c r="B116" s="112"/>
      <c r="C116" s="206" t="s">
        <v>118</v>
      </c>
      <c r="D116" s="227">
        <f>'THC Sum'!$B$42</f>
        <v>17373510</v>
      </c>
      <c r="E116" s="227">
        <f>'THC Sum'!$B$43</f>
        <v>15946928</v>
      </c>
      <c r="F116" s="227">
        <f>'THC Sum'!$B$44</f>
        <v>0</v>
      </c>
      <c r="G116" s="227">
        <f>'THC Sum'!$B$45</f>
        <v>146832357</v>
      </c>
      <c r="H116" s="227">
        <f>'THC Sum'!$B$46</f>
        <v>1389336</v>
      </c>
      <c r="I116" s="227">
        <f>'THC Sum'!$B$47</f>
        <v>0</v>
      </c>
      <c r="J116" s="227">
        <f>'THC Sum'!$B$48</f>
        <v>19973480</v>
      </c>
      <c r="K116" s="227">
        <f>'THC Sum'!$B$49</f>
        <v>10216797</v>
      </c>
      <c r="L116" s="227">
        <f>'THC Sum'!$B$50</f>
        <v>35175</v>
      </c>
      <c r="M116" s="227">
        <f>'THC Sum'!$B$51</f>
        <v>144548</v>
      </c>
      <c r="N116" s="227">
        <f>'THC Sum'!$B$52</f>
        <v>1343524</v>
      </c>
      <c r="O116" s="227">
        <f>'THC Sum'!$B$53</f>
        <v>0</v>
      </c>
      <c r="P116" s="227">
        <f t="shared" si="31"/>
        <v>213255655</v>
      </c>
      <c r="Q116" s="228" t="str">
        <f>IF(P116&lt;&gt;'THC Sum'!$B$54,"Formula Error","")</f>
        <v/>
      </c>
    </row>
    <row r="117" spans="1:17">
      <c r="A117" s="219">
        <v>7</v>
      </c>
      <c r="B117" s="112"/>
      <c r="C117" s="206" t="s">
        <v>114</v>
      </c>
      <c r="D117" s="227">
        <f>'TAMHSC Sum'!$B$42</f>
        <v>115055491</v>
      </c>
      <c r="E117" s="227">
        <f>'TAMHSC Sum'!$B$43</f>
        <v>69989914</v>
      </c>
      <c r="F117" s="227">
        <f>'TAMHSC Sum'!$B$44</f>
        <v>11307413</v>
      </c>
      <c r="G117" s="227">
        <f>'TAMHSC Sum'!$B$45</f>
        <v>0</v>
      </c>
      <c r="H117" s="227">
        <f>'TAMHSC Sum'!$B$46</f>
        <v>33122409</v>
      </c>
      <c r="I117" s="227">
        <f>'TAMHSC Sum'!$B$47</f>
        <v>5439173</v>
      </c>
      <c r="J117" s="227">
        <f>'TAMHSC Sum'!$B$48</f>
        <v>14423388</v>
      </c>
      <c r="K117" s="227">
        <f>'TAMHSC Sum'!$B$49</f>
        <v>23594253</v>
      </c>
      <c r="L117" s="227">
        <f>'TAMHSC Sum'!$B$50</f>
        <v>2052675</v>
      </c>
      <c r="M117" s="227">
        <f>'TAMHSC Sum'!$B$51</f>
        <v>2615622</v>
      </c>
      <c r="N117" s="227">
        <f>'TAMHSC Sum'!$B$52</f>
        <v>3764136</v>
      </c>
      <c r="O117" s="227">
        <f>'TAMHSC Sum'!$B$53</f>
        <v>871745</v>
      </c>
      <c r="P117" s="227">
        <f t="shared" si="31"/>
        <v>282236219</v>
      </c>
      <c r="Q117" s="228" t="str">
        <f>IF(P117&lt;&gt;'TAMHSC Sum'!$B$54,"Formula Error","")</f>
        <v/>
      </c>
    </row>
    <row r="118" spans="1:17">
      <c r="A118" s="219">
        <v>8</v>
      </c>
      <c r="B118" s="112"/>
      <c r="C118" s="206" t="s">
        <v>116</v>
      </c>
      <c r="D118" s="227">
        <f>'UNTHSC Sum'!$B$42</f>
        <v>70535325</v>
      </c>
      <c r="E118" s="227">
        <f>'UNTHSC Sum'!$B$43</f>
        <v>36080019</v>
      </c>
      <c r="F118" s="227">
        <f>'UNTHSC Sum'!$B$44</f>
        <v>45182938</v>
      </c>
      <c r="G118" s="227">
        <f>'UNTHSC Sum'!$B$45</f>
        <v>0</v>
      </c>
      <c r="H118" s="227">
        <f>'UNTHSC Sum'!$B$46</f>
        <v>19200650</v>
      </c>
      <c r="I118" s="227">
        <f>'UNTHSC Sum'!$B$47</f>
        <v>5516917</v>
      </c>
      <c r="J118" s="227">
        <f>'UNTHSC Sum'!$B$48</f>
        <v>17955894</v>
      </c>
      <c r="K118" s="227">
        <f>'UNTHSC Sum'!$B$49</f>
        <v>13375730</v>
      </c>
      <c r="L118" s="227">
        <f>'UNTHSC Sum'!$B$50</f>
        <v>546507</v>
      </c>
      <c r="M118" s="227">
        <f>'UNTHSC Sum'!$B$51</f>
        <v>484952</v>
      </c>
      <c r="N118" s="227">
        <f>'UNTHSC Sum'!$B$52</f>
        <v>5853999</v>
      </c>
      <c r="O118" s="227">
        <f>'UNTHSC Sum'!$B$53</f>
        <v>102396</v>
      </c>
      <c r="P118" s="227">
        <f t="shared" si="31"/>
        <v>214835327</v>
      </c>
      <c r="Q118" s="228" t="str">
        <f>IF(P118&lt;&gt;'UNTHSC Sum'!$B$54,"Formula Error","")</f>
        <v/>
      </c>
    </row>
    <row r="119" spans="1:17">
      <c r="A119" s="219">
        <v>9</v>
      </c>
      <c r="B119" s="112"/>
      <c r="C119" s="122" t="s">
        <v>120</v>
      </c>
      <c r="D119" s="227">
        <f>'TTUHSC Sum'!$B$42</f>
        <v>202142878</v>
      </c>
      <c r="E119" s="227">
        <f>'TTUHSC Sum'!$B$43</f>
        <v>33937168</v>
      </c>
      <c r="F119" s="227">
        <f>'TTUHSC Sum'!$B$44</f>
        <v>132045671</v>
      </c>
      <c r="G119" s="227">
        <f>'TTUHSC Sum'!$B$45</f>
        <v>78308297</v>
      </c>
      <c r="H119" s="227">
        <f>'TTUHSC Sum'!$B$46</f>
        <v>118813442</v>
      </c>
      <c r="I119" s="227">
        <f>'TTUHSC Sum'!$B$47</f>
        <v>15181835</v>
      </c>
      <c r="J119" s="227">
        <f>'TTUHSC Sum'!$B$48</f>
        <v>29372793</v>
      </c>
      <c r="K119" s="227">
        <f>'TTUHSC Sum'!$B$49</f>
        <v>27095077</v>
      </c>
      <c r="L119" s="227">
        <f>'TTUHSC Sum'!$B$50</f>
        <v>3308985</v>
      </c>
      <c r="M119" s="227">
        <f>'TTUHSC Sum'!$B$51</f>
        <v>456145</v>
      </c>
      <c r="N119" s="227">
        <f>'TTUHSC Sum'!$B$52</f>
        <v>4050982</v>
      </c>
      <c r="O119" s="227">
        <f>'TTUHSC Sum'!$B$53</f>
        <v>488877</v>
      </c>
      <c r="P119" s="227">
        <f t="shared" si="31"/>
        <v>645202150</v>
      </c>
      <c r="Q119" s="228" t="str">
        <f>IF(P119&lt;&gt;'TTUHSC Sum'!$B$54,"Formula Error","")</f>
        <v/>
      </c>
    </row>
    <row r="120" spans="1:17" ht="13.5" thickBot="1">
      <c r="A120" s="219"/>
      <c r="B120" s="127">
        <f>COUNTA(B111:B119)</f>
        <v>0</v>
      </c>
      <c r="C120" s="128" t="s">
        <v>126</v>
      </c>
      <c r="D120" s="190">
        <f t="shared" ref="D120:O120" si="32">SUM(D111:D119)</f>
        <v>2869497565</v>
      </c>
      <c r="E120" s="190">
        <f t="shared" si="32"/>
        <v>1705737397</v>
      </c>
      <c r="F120" s="190">
        <f t="shared" si="32"/>
        <v>314370463</v>
      </c>
      <c r="G120" s="190">
        <f t="shared" si="32"/>
        <v>6010681300</v>
      </c>
      <c r="H120" s="190">
        <f t="shared" si="32"/>
        <v>471501186</v>
      </c>
      <c r="I120" s="190">
        <f t="shared" si="32"/>
        <v>48401616</v>
      </c>
      <c r="J120" s="190">
        <f t="shared" si="32"/>
        <v>497321999</v>
      </c>
      <c r="K120" s="190">
        <f t="shared" si="32"/>
        <v>505998990</v>
      </c>
      <c r="L120" s="190">
        <f t="shared" si="32"/>
        <v>35780452</v>
      </c>
      <c r="M120" s="190">
        <f t="shared" si="32"/>
        <v>85242669</v>
      </c>
      <c r="N120" s="190">
        <f t="shared" si="32"/>
        <v>172257192</v>
      </c>
      <c r="O120" s="190">
        <f t="shared" si="32"/>
        <v>26049887</v>
      </c>
      <c r="P120" s="190">
        <f>SUM(D120:O120)</f>
        <v>12742840716</v>
      </c>
      <c r="Q120" s="247" t="str">
        <f>IF(P120&lt;&gt;'Smmy Sum'!B66,"Formula Error","")</f>
        <v>Formula Error</v>
      </c>
    </row>
    <row r="121" spans="1:17" ht="13.5" thickTop="1">
      <c r="A121" s="219"/>
      <c r="B121" s="220"/>
      <c r="C121" s="220"/>
      <c r="D121" s="226"/>
      <c r="E121" s="220"/>
      <c r="F121" s="220"/>
      <c r="G121" s="220"/>
      <c r="H121" s="220"/>
      <c r="I121" s="220"/>
      <c r="J121" s="220"/>
      <c r="K121" s="220"/>
      <c r="L121" s="220"/>
      <c r="M121" s="220"/>
      <c r="N121" s="220"/>
      <c r="O121" s="220"/>
      <c r="P121" s="220"/>
      <c r="Q121" s="247"/>
    </row>
    <row r="122" spans="1:17">
      <c r="A122" s="219"/>
      <c r="B122" s="220"/>
      <c r="C122" s="220"/>
      <c r="D122" s="226"/>
      <c r="E122" s="220"/>
      <c r="F122" s="220"/>
      <c r="G122" s="220"/>
      <c r="H122" s="220"/>
      <c r="I122" s="220"/>
      <c r="J122" s="220"/>
      <c r="K122" s="220"/>
      <c r="L122" s="220"/>
      <c r="M122" s="220"/>
      <c r="N122" s="220"/>
      <c r="O122" s="220"/>
      <c r="P122" s="220"/>
      <c r="Q122" s="247"/>
    </row>
    <row r="123" spans="1:17">
      <c r="A123" s="219"/>
      <c r="B123" s="220"/>
      <c r="C123" s="248" t="s">
        <v>147</v>
      </c>
      <c r="D123" s="220"/>
      <c r="E123" s="249"/>
      <c r="F123" s="220"/>
      <c r="G123" s="220"/>
      <c r="H123" s="220"/>
      <c r="I123" s="220"/>
      <c r="J123" s="220"/>
      <c r="K123" s="220"/>
      <c r="L123" s="220"/>
      <c r="M123" s="220"/>
      <c r="N123" s="220"/>
      <c r="O123" s="220"/>
      <c r="P123" s="220"/>
      <c r="Q123" s="247"/>
    </row>
    <row r="124" spans="1:17">
      <c r="A124" s="224"/>
      <c r="B124" s="191"/>
      <c r="C124" s="191" t="s">
        <v>144</v>
      </c>
      <c r="D124" s="226"/>
      <c r="E124" s="220"/>
      <c r="F124" s="220"/>
      <c r="G124" s="220"/>
      <c r="H124" s="220"/>
      <c r="I124" s="220"/>
      <c r="J124" s="220"/>
      <c r="K124" s="220"/>
      <c r="L124" s="220"/>
      <c r="M124" s="220"/>
      <c r="N124" s="220"/>
      <c r="O124" s="220"/>
      <c r="P124" s="220"/>
      <c r="Q124" s="247"/>
    </row>
    <row r="125" spans="1:17">
      <c r="A125" s="219">
        <v>1</v>
      </c>
      <c r="B125" s="112"/>
      <c r="C125" s="206" t="s">
        <v>110</v>
      </c>
      <c r="D125" s="226">
        <f>D111/$E6</f>
        <v>439285.8345487105</v>
      </c>
      <c r="E125" s="226">
        <f t="shared" ref="E125:O125" si="33">E111/$E6</f>
        <v>167600.5256890727</v>
      </c>
      <c r="F125" s="226">
        <f t="shared" si="33"/>
        <v>14397.537707460262</v>
      </c>
      <c r="G125" s="226">
        <f t="shared" si="33"/>
        <v>558766.27651522146</v>
      </c>
      <c r="H125" s="226">
        <f t="shared" si="33"/>
        <v>11015.411135931472</v>
      </c>
      <c r="I125" s="226">
        <f t="shared" si="33"/>
        <v>1848.1833957944875</v>
      </c>
      <c r="J125" s="226">
        <f t="shared" si="33"/>
        <v>32767.09943323426</v>
      </c>
      <c r="K125" s="226">
        <f t="shared" si="33"/>
        <v>38641.733897022175</v>
      </c>
      <c r="L125" s="226">
        <f t="shared" si="33"/>
        <v>2058.5079476433993</v>
      </c>
      <c r="M125" s="226">
        <f t="shared" si="33"/>
        <v>11107.659183635793</v>
      </c>
      <c r="N125" s="226">
        <f t="shared" si="33"/>
        <v>6666.2622076171847</v>
      </c>
      <c r="O125" s="226">
        <f t="shared" si="33"/>
        <v>3581.3050381228427</v>
      </c>
      <c r="P125" s="226">
        <f>SUM(D125:O125)</f>
        <v>1287736.3366994667</v>
      </c>
      <c r="Q125" s="247"/>
    </row>
    <row r="126" spans="1:17">
      <c r="A126" s="219">
        <v>2</v>
      </c>
      <c r="B126" s="112"/>
      <c r="C126" s="206" t="s">
        <v>125</v>
      </c>
      <c r="D126" s="227"/>
      <c r="E126" s="227"/>
      <c r="F126" s="227"/>
      <c r="G126" s="227"/>
      <c r="H126" s="227"/>
      <c r="I126" s="227"/>
      <c r="J126" s="227"/>
      <c r="K126" s="227"/>
      <c r="L126" s="227"/>
      <c r="M126" s="227"/>
      <c r="N126" s="227"/>
      <c r="O126" s="227"/>
      <c r="P126" s="227">
        <f t="shared" ref="P126:P133" si="34">SUM(D126:O126)</f>
        <v>0</v>
      </c>
      <c r="Q126" s="247"/>
    </row>
    <row r="127" spans="1:17">
      <c r="A127" s="219">
        <v>3</v>
      </c>
      <c r="B127" s="112"/>
      <c r="C127" s="206" t="s">
        <v>122</v>
      </c>
      <c r="D127" s="227">
        <f t="shared" ref="D127:O127" si="35">D113/$E8</f>
        <v>146706.42833615321</v>
      </c>
      <c r="E127" s="227">
        <f t="shared" si="35"/>
        <v>40722.79695328659</v>
      </c>
      <c r="F127" s="227">
        <f t="shared" si="35"/>
        <v>6431.314739079643</v>
      </c>
      <c r="G127" s="227">
        <f t="shared" si="35"/>
        <v>88103.128752897464</v>
      </c>
      <c r="H127" s="227">
        <f t="shared" si="35"/>
        <v>11322.041412552246</v>
      </c>
      <c r="I127" s="227">
        <f t="shared" si="35"/>
        <v>1872.0368093389989</v>
      </c>
      <c r="J127" s="227">
        <f t="shared" si="35"/>
        <v>15781.420203809823</v>
      </c>
      <c r="K127" s="227">
        <f t="shared" si="35"/>
        <v>8990.1356208916313</v>
      </c>
      <c r="L127" s="227">
        <f t="shared" si="35"/>
        <v>1977.9520406555794</v>
      </c>
      <c r="M127" s="227">
        <f t="shared" si="35"/>
        <v>3490.6818688636608</v>
      </c>
      <c r="N127" s="227">
        <f t="shared" si="35"/>
        <v>2877.4514156415139</v>
      </c>
      <c r="O127" s="227">
        <f t="shared" si="35"/>
        <v>603.90823034069911</v>
      </c>
      <c r="P127" s="227">
        <f t="shared" si="34"/>
        <v>328879.2963835111</v>
      </c>
      <c r="Q127" s="247"/>
    </row>
    <row r="128" spans="1:17">
      <c r="A128" s="219">
        <v>4</v>
      </c>
      <c r="B128" s="112"/>
      <c r="C128" s="206" t="s">
        <v>112</v>
      </c>
      <c r="D128" s="227">
        <f t="shared" ref="D128:O128" si="36">D114/$E9</f>
        <v>99524.328482980229</v>
      </c>
      <c r="E128" s="227">
        <f t="shared" si="36"/>
        <v>33062.900545991281</v>
      </c>
      <c r="F128" s="227">
        <f t="shared" si="36"/>
        <v>7695.5740745578523</v>
      </c>
      <c r="G128" s="227">
        <f t="shared" si="36"/>
        <v>34251.737506204452</v>
      </c>
      <c r="H128" s="227">
        <f t="shared" si="36"/>
        <v>11301.269103163615</v>
      </c>
      <c r="I128" s="227">
        <f t="shared" si="36"/>
        <v>553.5400611301236</v>
      </c>
      <c r="J128" s="227">
        <f t="shared" si="36"/>
        <v>12498.19352647666</v>
      </c>
      <c r="K128" s="227">
        <f t="shared" si="36"/>
        <v>9820.3701768593746</v>
      </c>
      <c r="L128" s="227">
        <f t="shared" si="36"/>
        <v>1275.6187465712271</v>
      </c>
      <c r="M128" s="227">
        <f t="shared" si="36"/>
        <v>1526.9907782334963</v>
      </c>
      <c r="N128" s="227">
        <f t="shared" si="36"/>
        <v>7376.253036913191</v>
      </c>
      <c r="O128" s="227">
        <f t="shared" si="36"/>
        <v>1532.9258862561719</v>
      </c>
      <c r="P128" s="227">
        <f t="shared" si="34"/>
        <v>220419.70192533772</v>
      </c>
      <c r="Q128" s="247"/>
    </row>
    <row r="129" spans="1:17">
      <c r="A129" s="219">
        <v>5</v>
      </c>
      <c r="B129" s="112"/>
      <c r="C129" s="206" t="s">
        <v>124</v>
      </c>
      <c r="D129" s="227"/>
      <c r="E129" s="227"/>
      <c r="F129" s="227"/>
      <c r="G129" s="227"/>
      <c r="H129" s="227"/>
      <c r="I129" s="227"/>
      <c r="J129" s="227"/>
      <c r="K129" s="227"/>
      <c r="L129" s="227"/>
      <c r="M129" s="227"/>
      <c r="N129" s="227"/>
      <c r="O129" s="227"/>
      <c r="P129" s="227"/>
      <c r="Q129" s="247"/>
    </row>
    <row r="130" spans="1:17">
      <c r="A130" s="219">
        <v>6</v>
      </c>
      <c r="B130" s="112"/>
      <c r="C130" s="206" t="s">
        <v>118</v>
      </c>
      <c r="D130" s="227"/>
      <c r="E130" s="227"/>
      <c r="F130" s="227"/>
      <c r="G130" s="227"/>
      <c r="H130" s="227"/>
      <c r="I130" s="227"/>
      <c r="J130" s="227"/>
      <c r="K130" s="227"/>
      <c r="L130" s="227"/>
      <c r="M130" s="227"/>
      <c r="N130" s="227"/>
      <c r="O130" s="227"/>
      <c r="P130" s="227"/>
      <c r="Q130" s="247"/>
    </row>
    <row r="131" spans="1:17">
      <c r="A131" s="219">
        <v>7</v>
      </c>
      <c r="B131" s="112"/>
      <c r="C131" s="206" t="s">
        <v>114</v>
      </c>
      <c r="D131" s="227">
        <f t="shared" ref="D131:O131" si="37">D117/$E12</f>
        <v>36952.916105949116</v>
      </c>
      <c r="E131" s="227">
        <f t="shared" si="37"/>
        <v>22478.991639821812</v>
      </c>
      <c r="F131" s="227">
        <f t="shared" si="37"/>
        <v>3631.6553024341829</v>
      </c>
      <c r="G131" s="227">
        <f t="shared" si="37"/>
        <v>0</v>
      </c>
      <c r="H131" s="227">
        <f t="shared" si="37"/>
        <v>10638.080724056308</v>
      </c>
      <c r="I131" s="227">
        <f t="shared" si="37"/>
        <v>1746.92491256018</v>
      </c>
      <c r="J131" s="227">
        <f t="shared" si="37"/>
        <v>4632.4277276566772</v>
      </c>
      <c r="K131" s="227">
        <f t="shared" si="37"/>
        <v>7577.8778058627231</v>
      </c>
      <c r="L131" s="227">
        <f t="shared" si="37"/>
        <v>659.26733620891775</v>
      </c>
      <c r="M131" s="227">
        <f t="shared" si="37"/>
        <v>840.07168619944309</v>
      </c>
      <c r="N131" s="227">
        <f t="shared" si="37"/>
        <v>1208.9453585434082</v>
      </c>
      <c r="O131" s="227">
        <f t="shared" si="37"/>
        <v>279.98246385981366</v>
      </c>
      <c r="P131" s="227">
        <f t="shared" si="34"/>
        <v>90647.141063152565</v>
      </c>
      <c r="Q131" s="247"/>
    </row>
    <row r="132" spans="1:17">
      <c r="A132" s="219">
        <v>8</v>
      </c>
      <c r="B132" s="112"/>
      <c r="C132" s="206" t="s">
        <v>116</v>
      </c>
      <c r="D132" s="227">
        <f t="shared" ref="D132:O132" si="38">D118/$E13</f>
        <v>24869.482973817263</v>
      </c>
      <c r="E132" s="227">
        <f t="shared" si="38"/>
        <v>12721.163732009505</v>
      </c>
      <c r="F132" s="227">
        <f t="shared" si="38"/>
        <v>15930.688733596124</v>
      </c>
      <c r="G132" s="227">
        <f t="shared" si="38"/>
        <v>0</v>
      </c>
      <c r="H132" s="227">
        <f t="shared" si="38"/>
        <v>6769.8027656528757</v>
      </c>
      <c r="I132" s="227">
        <f t="shared" si="38"/>
        <v>1945.1653961963457</v>
      </c>
      <c r="J132" s="227">
        <f t="shared" si="38"/>
        <v>6330.9242583438518</v>
      </c>
      <c r="K132" s="227">
        <f t="shared" si="38"/>
        <v>4716.04106874643</v>
      </c>
      <c r="L132" s="227">
        <f t="shared" si="38"/>
        <v>192.68850794367148</v>
      </c>
      <c r="M132" s="227">
        <f t="shared" si="38"/>
        <v>170.9853255389215</v>
      </c>
      <c r="N132" s="227">
        <f t="shared" si="38"/>
        <v>2064.014427653708</v>
      </c>
      <c r="O132" s="227">
        <f t="shared" si="38"/>
        <v>36.102982138198023</v>
      </c>
      <c r="P132" s="227">
        <f t="shared" si="34"/>
        <v>75747.060171636884</v>
      </c>
      <c r="Q132" s="247"/>
    </row>
    <row r="133" spans="1:17">
      <c r="A133" s="219">
        <v>9</v>
      </c>
      <c r="B133" s="112"/>
      <c r="C133" s="122" t="s">
        <v>120</v>
      </c>
      <c r="D133" s="227">
        <f t="shared" ref="D133:O133" si="39">D119/$E14</f>
        <v>35241.517591741875</v>
      </c>
      <c r="E133" s="227">
        <f t="shared" si="39"/>
        <v>5916.5938217516596</v>
      </c>
      <c r="F133" s="227">
        <f t="shared" si="39"/>
        <v>23020.79540719639</v>
      </c>
      <c r="G133" s="227">
        <f t="shared" si="39"/>
        <v>13652.240700287486</v>
      </c>
      <c r="H133" s="227">
        <f t="shared" si="39"/>
        <v>20713.893300650459</v>
      </c>
      <c r="I133" s="227">
        <f t="shared" si="39"/>
        <v>2646.7957244945455</v>
      </c>
      <c r="J133" s="227">
        <f t="shared" si="39"/>
        <v>5120.8423045608988</v>
      </c>
      <c r="K133" s="227">
        <f t="shared" si="39"/>
        <v>4723.7461056881793</v>
      </c>
      <c r="L133" s="227">
        <f t="shared" si="39"/>
        <v>576.88727024214029</v>
      </c>
      <c r="M133" s="227">
        <f t="shared" si="39"/>
        <v>79.52415737291075</v>
      </c>
      <c r="N133" s="227">
        <f t="shared" si="39"/>
        <v>706.24676382033942</v>
      </c>
      <c r="O133" s="227">
        <f t="shared" si="39"/>
        <v>85.230642633365463</v>
      </c>
      <c r="P133" s="227">
        <f t="shared" si="34"/>
        <v>112484.31379044022</v>
      </c>
      <c r="Q133" s="247"/>
    </row>
    <row r="134" spans="1:17" ht="13.5" thickBot="1">
      <c r="A134" s="219"/>
      <c r="B134" s="127">
        <f>COUNTA(B125:B133)</f>
        <v>0</v>
      </c>
      <c r="C134" s="128" t="s">
        <v>126</v>
      </c>
      <c r="D134" s="190">
        <f t="shared" ref="D134:O134" si="40">SUM(D125:D133)</f>
        <v>782580.50803935213</v>
      </c>
      <c r="E134" s="190">
        <f t="shared" si="40"/>
        <v>282502.97238193359</v>
      </c>
      <c r="F134" s="190">
        <f t="shared" si="40"/>
        <v>71107.565964324458</v>
      </c>
      <c r="G134" s="190">
        <f t="shared" si="40"/>
        <v>694773.38347461086</v>
      </c>
      <c r="H134" s="190">
        <f t="shared" si="40"/>
        <v>71760.498442006967</v>
      </c>
      <c r="I134" s="190">
        <f t="shared" si="40"/>
        <v>10612.646299514681</v>
      </c>
      <c r="J134" s="190">
        <f t="shared" si="40"/>
        <v>77130.90745408216</v>
      </c>
      <c r="K134" s="190">
        <f t="shared" si="40"/>
        <v>74469.904675070502</v>
      </c>
      <c r="L134" s="190">
        <f t="shared" si="40"/>
        <v>6740.9218492649361</v>
      </c>
      <c r="M134" s="190">
        <f t="shared" si="40"/>
        <v>17215.912999844226</v>
      </c>
      <c r="N134" s="190">
        <f t="shared" si="40"/>
        <v>20899.173210189343</v>
      </c>
      <c r="O134" s="190">
        <f t="shared" si="40"/>
        <v>6119.4552433510908</v>
      </c>
      <c r="P134" s="190">
        <f>SUM(D134:O134)</f>
        <v>2115913.8500335445</v>
      </c>
      <c r="Q134" s="247"/>
    </row>
    <row r="135" spans="1:17" ht="13.5" thickTop="1">
      <c r="A135" s="219"/>
      <c r="B135" s="220"/>
      <c r="C135" s="220"/>
      <c r="D135" s="220"/>
      <c r="E135" s="220"/>
      <c r="F135" s="220"/>
      <c r="G135" s="220"/>
      <c r="H135" s="220"/>
      <c r="I135" s="220"/>
      <c r="J135" s="220"/>
      <c r="K135" s="220"/>
      <c r="L135" s="220"/>
      <c r="M135" s="220"/>
      <c r="N135" s="220"/>
      <c r="O135" s="220"/>
      <c r="P135" s="220"/>
      <c r="Q135" s="247"/>
    </row>
    <row r="136" spans="1:17">
      <c r="A136" s="219"/>
      <c r="B136" s="220"/>
      <c r="C136" s="208" t="s">
        <v>148</v>
      </c>
      <c r="D136" s="252">
        <f>AVERAGE(D125:D133)</f>
        <v>130430.08467322536</v>
      </c>
      <c r="E136" s="252">
        <f t="shared" ref="E136:O136" si="41">AVERAGE(E125:E133)</f>
        <v>47083.828730322268</v>
      </c>
      <c r="F136" s="252">
        <f t="shared" si="41"/>
        <v>11851.260994054077</v>
      </c>
      <c r="G136" s="252">
        <f t="shared" si="41"/>
        <v>115795.56391243514</v>
      </c>
      <c r="H136" s="252">
        <f t="shared" si="41"/>
        <v>11960.083073667827</v>
      </c>
      <c r="I136" s="252">
        <f t="shared" si="41"/>
        <v>1768.7743832524468</v>
      </c>
      <c r="J136" s="252">
        <f t="shared" si="41"/>
        <v>12855.151242347027</v>
      </c>
      <c r="K136" s="252">
        <f t="shared" si="41"/>
        <v>12411.650779178417</v>
      </c>
      <c r="L136" s="252">
        <f t="shared" si="41"/>
        <v>1123.4869748774893</v>
      </c>
      <c r="M136" s="252">
        <f t="shared" si="41"/>
        <v>2869.3188333073708</v>
      </c>
      <c r="N136" s="252">
        <f t="shared" si="41"/>
        <v>3483.195535031557</v>
      </c>
      <c r="O136" s="252">
        <f t="shared" si="41"/>
        <v>1019.9092072251818</v>
      </c>
      <c r="P136" s="252">
        <f>AVERAGE(P125:P133)</f>
        <v>302273.40714764933</v>
      </c>
      <c r="Q136" s="247"/>
    </row>
    <row r="137" spans="1:17">
      <c r="A137" s="219"/>
      <c r="B137" s="220"/>
      <c r="C137" s="220"/>
      <c r="D137" s="220"/>
      <c r="E137" s="220"/>
      <c r="F137" s="220"/>
      <c r="G137" s="220"/>
      <c r="H137" s="220"/>
      <c r="I137" s="220"/>
      <c r="J137" s="220"/>
      <c r="K137" s="220"/>
      <c r="L137" s="220"/>
      <c r="M137" s="220"/>
      <c r="N137" s="220"/>
      <c r="O137" s="220"/>
      <c r="P137" s="220"/>
      <c r="Q137" s="247"/>
    </row>
    <row r="138" spans="1:17" ht="13.5" thickBot="1">
      <c r="A138" s="230"/>
      <c r="B138" s="231"/>
      <c r="C138" s="231"/>
      <c r="D138" s="231"/>
      <c r="E138" s="231"/>
      <c r="F138" s="231"/>
      <c r="G138" s="231"/>
      <c r="H138" s="231"/>
      <c r="I138" s="231"/>
      <c r="J138" s="231"/>
      <c r="K138" s="231"/>
      <c r="L138" s="231"/>
      <c r="M138" s="231"/>
      <c r="N138" s="231"/>
      <c r="O138" s="231"/>
      <c r="P138" s="231"/>
      <c r="Q138" s="250"/>
    </row>
    <row r="139" spans="1:17">
      <c r="A139" s="104" t="s">
        <v>161</v>
      </c>
    </row>
    <row r="140" spans="1:17">
      <c r="D140" s="197" t="s">
        <v>149</v>
      </c>
      <c r="E140" s="197" t="s">
        <v>150</v>
      </c>
      <c r="F140" s="197" t="s">
        <v>151</v>
      </c>
      <c r="G140" s="197" t="s">
        <v>152</v>
      </c>
      <c r="H140" s="197" t="s">
        <v>153</v>
      </c>
      <c r="I140" s="197" t="s">
        <v>154</v>
      </c>
    </row>
    <row r="141" spans="1:17">
      <c r="C141" s="102" t="s">
        <v>155</v>
      </c>
      <c r="D141" s="102">
        <v>0</v>
      </c>
      <c r="E141" s="102">
        <v>0</v>
      </c>
      <c r="F141" s="102">
        <v>60</v>
      </c>
      <c r="G141" s="102">
        <v>120</v>
      </c>
      <c r="H141" s="102">
        <v>180</v>
      </c>
      <c r="I141" s="102">
        <v>240</v>
      </c>
    </row>
    <row r="142" spans="1:17">
      <c r="C142" s="102" t="s">
        <v>156</v>
      </c>
      <c r="D142" s="102">
        <v>20</v>
      </c>
      <c r="E142" s="102">
        <v>42</v>
      </c>
      <c r="F142" s="102">
        <v>86</v>
      </c>
      <c r="G142" s="102">
        <v>128</v>
      </c>
      <c r="H142" s="102">
        <v>160</v>
      </c>
      <c r="I142" s="102">
        <v>160</v>
      </c>
    </row>
    <row r="143" spans="1:17">
      <c r="C143" s="102" t="s">
        <v>163</v>
      </c>
      <c r="D143" s="195">
        <v>1</v>
      </c>
      <c r="E143" s="195">
        <v>1.04</v>
      </c>
      <c r="F143" s="195">
        <v>1.08</v>
      </c>
      <c r="G143" s="195">
        <v>1.1200000000000001</v>
      </c>
      <c r="H143" s="195">
        <v>1.1599999999999999</v>
      </c>
      <c r="I143" s="195">
        <v>1.2</v>
      </c>
    </row>
    <row r="145" spans="1:9">
      <c r="A145" s="15" t="s">
        <v>74</v>
      </c>
      <c r="B145" s="255"/>
    </row>
    <row r="146" spans="1:9">
      <c r="A146" s="6" t="s">
        <v>0</v>
      </c>
    </row>
    <row r="147" spans="1:9">
      <c r="A147" s="2" t="s">
        <v>1</v>
      </c>
      <c r="D147" s="226">
        <f t="shared" ref="D147:E147" si="42">D141*$D$46*D143</f>
        <v>0</v>
      </c>
      <c r="E147" s="226">
        <f t="shared" si="42"/>
        <v>0</v>
      </c>
      <c r="F147" s="226">
        <f>F141*$D$46*F143</f>
        <v>3170683.5196611257</v>
      </c>
      <c r="G147" s="226">
        <f t="shared" ref="G147:I147" si="43">G141*$D$46*G143</f>
        <v>6576232.4852230754</v>
      </c>
      <c r="H147" s="226">
        <f t="shared" si="43"/>
        <v>10216646.896685848</v>
      </c>
      <c r="I147" s="226">
        <f t="shared" si="43"/>
        <v>14091926.754049446</v>
      </c>
    </row>
    <row r="148" spans="1:9">
      <c r="A148" s="2" t="s">
        <v>2</v>
      </c>
      <c r="D148" s="227">
        <f t="shared" ref="D148:E148" si="44">D141*$E$46*D143</f>
        <v>0</v>
      </c>
      <c r="E148" s="227">
        <f t="shared" si="44"/>
        <v>0</v>
      </c>
      <c r="F148" s="227">
        <f>F141*$E$46*F143</f>
        <v>346866.40391128144</v>
      </c>
      <c r="G148" s="227">
        <f t="shared" ref="G148:I148" si="45">G141*$E$46*G143</f>
        <v>719426.61551969487</v>
      </c>
      <c r="H148" s="227">
        <f t="shared" si="45"/>
        <v>1117680.6348252399</v>
      </c>
      <c r="I148" s="227">
        <f t="shared" si="45"/>
        <v>1541628.4618279173</v>
      </c>
    </row>
    <row r="149" spans="1:9">
      <c r="A149" s="51" t="s">
        <v>95</v>
      </c>
      <c r="D149" s="227">
        <f t="shared" ref="D149:E149" si="46">D141*$F$46*D143</f>
        <v>0</v>
      </c>
      <c r="E149" s="227">
        <f t="shared" si="46"/>
        <v>0</v>
      </c>
      <c r="F149" s="227">
        <f>F141*$F$46*F143</f>
        <v>0</v>
      </c>
      <c r="G149" s="227">
        <f t="shared" ref="G149:I149" si="47">G141*$F$46*G143</f>
        <v>0</v>
      </c>
      <c r="H149" s="227">
        <f t="shared" si="47"/>
        <v>0</v>
      </c>
      <c r="I149" s="227">
        <f t="shared" si="47"/>
        <v>0</v>
      </c>
    </row>
    <row r="150" spans="1:9">
      <c r="A150" s="2" t="s">
        <v>26</v>
      </c>
      <c r="D150" s="227">
        <f t="shared" ref="D150:E150" si="48">D141*$G$46*D143</f>
        <v>0</v>
      </c>
      <c r="E150" s="227">
        <f t="shared" si="48"/>
        <v>0</v>
      </c>
      <c r="F150" s="227">
        <f>F141*$G$46*F143</f>
        <v>109090.96492098406</v>
      </c>
      <c r="G150" s="227">
        <f t="shared" ref="G150:I150" si="49">G141*$G$46*G143</f>
        <v>226262.74205833729</v>
      </c>
      <c r="H150" s="227">
        <f t="shared" si="49"/>
        <v>351515.33141205966</v>
      </c>
      <c r="I150" s="227">
        <f t="shared" si="49"/>
        <v>484848.73298215127</v>
      </c>
    </row>
    <row r="151" spans="1:9">
      <c r="A151" s="2" t="s">
        <v>46</v>
      </c>
      <c r="D151" s="227">
        <f t="shared" ref="D151:E151" si="50">D141*$H$46*D143</f>
        <v>0</v>
      </c>
      <c r="E151" s="227">
        <f t="shared" si="50"/>
        <v>0</v>
      </c>
      <c r="F151" s="227">
        <f>F141*$H$46*F143</f>
        <v>64515.262415812082</v>
      </c>
      <c r="G151" s="227">
        <f t="shared" ref="G151:I151" si="51">G141*$H$46*G143</f>
        <v>133809.43315872137</v>
      </c>
      <c r="H151" s="227">
        <f t="shared" si="51"/>
        <v>207882.51222872778</v>
      </c>
      <c r="I151" s="227">
        <f t="shared" si="51"/>
        <v>286734.49962583143</v>
      </c>
    </row>
    <row r="152" spans="1:9">
      <c r="A152" s="9" t="s">
        <v>3</v>
      </c>
      <c r="B152" s="251"/>
      <c r="C152" s="251"/>
      <c r="D152" s="196">
        <f>SUM(D147:D151)</f>
        <v>0</v>
      </c>
      <c r="E152" s="196">
        <f>SUM(E147:E151)</f>
        <v>0</v>
      </c>
      <c r="F152" s="196">
        <f>SUM(F147:F151)</f>
        <v>3691156.1509092031</v>
      </c>
      <c r="G152" s="196">
        <f t="shared" ref="G152:I152" si="52">SUM(G147:G151)</f>
        <v>7655731.2759598298</v>
      </c>
      <c r="H152" s="196">
        <f t="shared" si="52"/>
        <v>11893725.375151874</v>
      </c>
      <c r="I152" s="196">
        <f t="shared" si="52"/>
        <v>16405138.448485347</v>
      </c>
    </row>
    <row r="153" spans="1:9">
      <c r="A153" s="2"/>
    </row>
    <row r="154" spans="1:9">
      <c r="A154" s="6" t="s">
        <v>4</v>
      </c>
    </row>
    <row r="155" spans="1:9">
      <c r="A155" s="2" t="s">
        <v>37</v>
      </c>
      <c r="D155" s="116">
        <f t="shared" ref="D155:E155" si="53">D141*$D$75*D143</f>
        <v>0</v>
      </c>
      <c r="E155" s="116">
        <f t="shared" si="53"/>
        <v>0</v>
      </c>
      <c r="F155" s="116">
        <f>F141*$D$75*F143</f>
        <v>588018.13814744609</v>
      </c>
      <c r="G155" s="116">
        <f t="shared" ref="G155:I155" si="54">G141*$D$75*G143</f>
        <v>1219593.1754169255</v>
      </c>
      <c r="H155" s="116">
        <f t="shared" si="54"/>
        <v>1894725.1118084374</v>
      </c>
      <c r="I155" s="116">
        <f t="shared" si="54"/>
        <v>2613413.9473219826</v>
      </c>
    </row>
    <row r="156" spans="1:9">
      <c r="A156" s="2" t="s">
        <v>38</v>
      </c>
      <c r="D156" s="120">
        <f t="shared" ref="D156:E156" si="55">D141*$E$75*D143</f>
        <v>0</v>
      </c>
      <c r="E156" s="120">
        <f t="shared" si="55"/>
        <v>0</v>
      </c>
      <c r="F156" s="120">
        <f>F141*$E$75*F143</f>
        <v>145222.22341916367</v>
      </c>
      <c r="G156" s="120">
        <f t="shared" ref="G156:I156" si="56">G141*$E$75*G143</f>
        <v>301201.64857308025</v>
      </c>
      <c r="H156" s="120">
        <f t="shared" si="56"/>
        <v>467938.27546174952</v>
      </c>
      <c r="I156" s="120">
        <f t="shared" si="56"/>
        <v>645432.10408517183</v>
      </c>
    </row>
    <row r="157" spans="1:9">
      <c r="A157" s="9" t="s">
        <v>5</v>
      </c>
      <c r="B157" s="251"/>
      <c r="C157" s="251"/>
      <c r="D157" s="196">
        <f t="shared" ref="D157:I157" si="57">SUM(D155:D156)</f>
        <v>0</v>
      </c>
      <c r="E157" s="196">
        <f t="shared" si="57"/>
        <v>0</v>
      </c>
      <c r="F157" s="196">
        <f t="shared" si="57"/>
        <v>733240.3615666097</v>
      </c>
      <c r="G157" s="196">
        <f t="shared" si="57"/>
        <v>1520794.8239900058</v>
      </c>
      <c r="H157" s="196">
        <f t="shared" si="57"/>
        <v>2362663.387270187</v>
      </c>
      <c r="I157" s="196">
        <f t="shared" si="57"/>
        <v>3258846.0514071546</v>
      </c>
    </row>
    <row r="158" spans="1:9">
      <c r="A158" s="2"/>
    </row>
    <row r="159" spans="1:9">
      <c r="A159" s="6" t="s">
        <v>6</v>
      </c>
    </row>
    <row r="160" spans="1:9">
      <c r="A160" s="9" t="s">
        <v>7</v>
      </c>
      <c r="B160" s="251"/>
      <c r="C160" s="251"/>
      <c r="D160" s="196">
        <f t="shared" ref="D160:E160" si="58">D141*$H$75*D143</f>
        <v>0</v>
      </c>
      <c r="E160" s="196">
        <f t="shared" si="58"/>
        <v>0</v>
      </c>
      <c r="F160" s="196">
        <f>F141*$H$75*F143</f>
        <v>1964114.6945424997</v>
      </c>
      <c r="G160" s="196">
        <f t="shared" ref="G160:I160" si="59">G141*$H$75*G143</f>
        <v>4073719.3664585184</v>
      </c>
      <c r="H160" s="196">
        <f t="shared" si="59"/>
        <v>6328814.0157480538</v>
      </c>
      <c r="I160" s="196">
        <f t="shared" si="59"/>
        <v>8729398.6424111091</v>
      </c>
    </row>
    <row r="161" spans="1:9">
      <c r="A161" s="2"/>
    </row>
    <row r="162" spans="1:9">
      <c r="A162" s="6" t="s">
        <v>57</v>
      </c>
    </row>
    <row r="163" spans="1:9">
      <c r="A163" s="9" t="s">
        <v>56</v>
      </c>
      <c r="B163" s="251"/>
      <c r="C163" s="251"/>
      <c r="D163" s="196">
        <f t="shared" ref="D163:E163" si="60">D141*$I$75*D143</f>
        <v>0</v>
      </c>
      <c r="E163" s="196">
        <f t="shared" si="60"/>
        <v>0</v>
      </c>
      <c r="F163" s="196">
        <f>F141*$I$75*F143</f>
        <v>5219570.2575456901</v>
      </c>
      <c r="G163" s="196">
        <f t="shared" ref="G163:I163" si="61">G141*$I$75*G143</f>
        <v>10825775.348983653</v>
      </c>
      <c r="H163" s="196">
        <f t="shared" si="61"/>
        <v>16818615.274313889</v>
      </c>
      <c r="I163" s="196">
        <f t="shared" si="61"/>
        <v>23198090.033536397</v>
      </c>
    </row>
    <row r="164" spans="1:9">
      <c r="A164" s="2"/>
    </row>
    <row r="165" spans="1:9">
      <c r="A165" s="6" t="s">
        <v>55</v>
      </c>
    </row>
    <row r="166" spans="1:9">
      <c r="A166" s="9" t="s">
        <v>56</v>
      </c>
      <c r="B166" s="251"/>
      <c r="C166" s="251"/>
      <c r="D166" s="196">
        <f>D141*$J$75*D143</f>
        <v>0</v>
      </c>
      <c r="E166" s="196">
        <f t="shared" ref="E166" si="62">E141*$J$75*E143</f>
        <v>0</v>
      </c>
      <c r="F166" s="196">
        <f>F141*$J$75*F143</f>
        <v>6679635.0780938426</v>
      </c>
      <c r="G166" s="196">
        <f t="shared" ref="G166:I166" si="63">G141*$J$75*G143</f>
        <v>13854057.939750193</v>
      </c>
      <c r="H166" s="196">
        <f t="shared" si="63"/>
        <v>21523268.584969047</v>
      </c>
      <c r="I166" s="196">
        <f t="shared" si="63"/>
        <v>29687267.013750408</v>
      </c>
    </row>
    <row r="167" spans="1:9">
      <c r="A167" s="2"/>
    </row>
    <row r="168" spans="1:9">
      <c r="A168" s="6" t="s">
        <v>8</v>
      </c>
    </row>
    <row r="169" spans="1:9">
      <c r="A169" s="2" t="s">
        <v>40</v>
      </c>
      <c r="D169" s="116">
        <f t="shared" ref="D169:E169" si="64">D141*$D$104*D143</f>
        <v>0</v>
      </c>
      <c r="E169" s="116">
        <f t="shared" si="64"/>
        <v>0</v>
      </c>
      <c r="F169" s="116">
        <f>F141*$D$104*F143</f>
        <v>1010924.907992034</v>
      </c>
      <c r="G169" s="116">
        <f t="shared" ref="G169:I169" si="65">G141*$D$104*G143</f>
        <v>2096733.1425019964</v>
      </c>
      <c r="H169" s="116">
        <f t="shared" si="65"/>
        <v>3257424.7035298869</v>
      </c>
      <c r="I169" s="116">
        <f t="shared" si="65"/>
        <v>4492999.5910757063</v>
      </c>
    </row>
    <row r="170" spans="1:9">
      <c r="A170" s="2" t="s">
        <v>9</v>
      </c>
      <c r="D170" s="120">
        <f t="shared" ref="D170:E170" si="66">D141*$E$104*D143</f>
        <v>0</v>
      </c>
      <c r="E170" s="120">
        <f t="shared" si="66"/>
        <v>0</v>
      </c>
      <c r="F170" s="120">
        <f>F141*$E$104*F143</f>
        <v>2589604.127589806</v>
      </c>
      <c r="G170" s="120">
        <f t="shared" ref="G170:I170" si="67">G141*$E$104*G143</f>
        <v>5371030.7831492275</v>
      </c>
      <c r="H170" s="120">
        <f t="shared" si="67"/>
        <v>8344279.9666782618</v>
      </c>
      <c r="I170" s="120">
        <f t="shared" si="67"/>
        <v>11509351.678176913</v>
      </c>
    </row>
    <row r="171" spans="1:9">
      <c r="A171" s="2" t="s">
        <v>10</v>
      </c>
      <c r="D171" s="120">
        <f t="shared" ref="D171:E171" si="68">D141*$F$104*D143</f>
        <v>0</v>
      </c>
      <c r="E171" s="120">
        <f t="shared" si="68"/>
        <v>0</v>
      </c>
      <c r="F171" s="120">
        <f>F141*$F$104*F143</f>
        <v>1579092.3398588663</v>
      </c>
      <c r="G171" s="120">
        <f t="shared" ref="G171:I171" si="69">G141*$F$104*G143</f>
        <v>3275154.4826702415</v>
      </c>
      <c r="H171" s="120">
        <f t="shared" si="69"/>
        <v>5088186.4284341242</v>
      </c>
      <c r="I171" s="120">
        <f t="shared" si="69"/>
        <v>7018188.1771505168</v>
      </c>
    </row>
    <row r="172" spans="1:9">
      <c r="A172" s="2" t="s">
        <v>11</v>
      </c>
      <c r="D172" s="120">
        <f t="shared" ref="D172:E172" si="70">D141*$G$104*D143</f>
        <v>0</v>
      </c>
      <c r="E172" s="120">
        <f t="shared" si="70"/>
        <v>0</v>
      </c>
      <c r="F172" s="120">
        <f>F141*$G$104*F143</f>
        <v>606279.11439906666</v>
      </c>
      <c r="G172" s="120">
        <f t="shared" ref="G172:I172" si="71">G141*$G$104*G143</f>
        <v>1257467.7928276937</v>
      </c>
      <c r="H172" s="120">
        <f t="shared" si="71"/>
        <v>1953566.0352858813</v>
      </c>
      <c r="I172" s="120">
        <f t="shared" si="71"/>
        <v>2694573.8417736292</v>
      </c>
    </row>
    <row r="173" spans="1:9">
      <c r="A173" s="3" t="s">
        <v>12</v>
      </c>
      <c r="D173" s="120">
        <f t="shared" ref="D173:E173" si="72">D141*$H$104*D143</f>
        <v>0</v>
      </c>
      <c r="E173" s="120">
        <f t="shared" si="72"/>
        <v>0</v>
      </c>
      <c r="F173" s="120">
        <f>F141*$H$104*F143</f>
        <v>217588.64670471766</v>
      </c>
      <c r="G173" s="120">
        <f t="shared" ref="G173:I173" si="73">G141*$H$104*G143</f>
        <v>451294.9709431181</v>
      </c>
      <c r="H173" s="120">
        <f t="shared" si="73"/>
        <v>701118.97271520121</v>
      </c>
      <c r="I173" s="120">
        <f t="shared" si="73"/>
        <v>967060.65202096722</v>
      </c>
    </row>
    <row r="174" spans="1:9">
      <c r="A174" s="10" t="s">
        <v>41</v>
      </c>
      <c r="D174" s="120">
        <f t="shared" ref="D174:E174" si="74">D141*$I$104*D143</f>
        <v>0</v>
      </c>
      <c r="E174" s="120">
        <f t="shared" si="74"/>
        <v>0</v>
      </c>
      <c r="F174" s="120">
        <f>F141*$I$104*F143</f>
        <v>1046411.6064180472</v>
      </c>
      <c r="G174" s="120">
        <f t="shared" ref="G174:I174" si="75">G141*$I$104*G143</f>
        <v>2170335.1836818755</v>
      </c>
      <c r="H174" s="120">
        <f t="shared" si="75"/>
        <v>3371770.7317914851</v>
      </c>
      <c r="I174" s="120">
        <f t="shared" si="75"/>
        <v>4650718.250746876</v>
      </c>
    </row>
    <row r="175" spans="1:9">
      <c r="A175" s="9" t="s">
        <v>3</v>
      </c>
      <c r="B175" s="251"/>
      <c r="C175" s="251"/>
      <c r="D175" s="196">
        <f t="shared" ref="D175:I175" si="76">SUM(D169:D174)</f>
        <v>0</v>
      </c>
      <c r="E175" s="196">
        <f t="shared" si="76"/>
        <v>0</v>
      </c>
      <c r="F175" s="196">
        <f t="shared" si="76"/>
        <v>7049900.7429625383</v>
      </c>
      <c r="G175" s="196">
        <f t="shared" si="76"/>
        <v>14622016.355774153</v>
      </c>
      <c r="H175" s="196">
        <f t="shared" si="76"/>
        <v>22716346.838434841</v>
      </c>
      <c r="I175" s="196">
        <f t="shared" si="76"/>
        <v>31332892.190944612</v>
      </c>
    </row>
    <row r="176" spans="1:9">
      <c r="A176" s="11" t="s">
        <v>71</v>
      </c>
      <c r="B176" s="254"/>
      <c r="C176" s="251"/>
      <c r="D176" s="196">
        <f t="shared" ref="D176:H176" si="77">D175+D166+D163+D160+D157+D152</f>
        <v>0</v>
      </c>
      <c r="E176" s="196">
        <f t="shared" si="77"/>
        <v>0</v>
      </c>
      <c r="F176" s="196">
        <f t="shared" si="77"/>
        <v>25337617.285620388</v>
      </c>
      <c r="G176" s="196">
        <f t="shared" si="77"/>
        <v>52552095.110916346</v>
      </c>
      <c r="H176" s="196">
        <f t="shared" si="77"/>
        <v>81643433.475887895</v>
      </c>
      <c r="I176" s="196">
        <f>I175+I166+I163+I160+I157+I152</f>
        <v>112611632.38053504</v>
      </c>
    </row>
    <row r="179" spans="1:10">
      <c r="D179" s="197" t="s">
        <v>149</v>
      </c>
      <c r="E179" s="197" t="s">
        <v>150</v>
      </c>
      <c r="F179" s="197" t="s">
        <v>151</v>
      </c>
      <c r="G179" s="197" t="s">
        <v>152</v>
      </c>
      <c r="H179" s="197" t="s">
        <v>153</v>
      </c>
      <c r="I179" s="197" t="s">
        <v>154</v>
      </c>
      <c r="J179" s="220"/>
    </row>
    <row r="180" spans="1:10">
      <c r="A180" s="15" t="s">
        <v>75</v>
      </c>
      <c r="J180" s="253"/>
    </row>
    <row r="181" spans="1:10">
      <c r="A181" s="7" t="s">
        <v>14</v>
      </c>
      <c r="D181" s="116">
        <f t="shared" ref="D181:E181" si="78">D$141*$D$136*$F$143</f>
        <v>0</v>
      </c>
      <c r="E181" s="116">
        <f t="shared" si="78"/>
        <v>0</v>
      </c>
      <c r="F181" s="116">
        <f>F$141*$D$136*$F$143</f>
        <v>8451869.4868250042</v>
      </c>
      <c r="G181" s="116">
        <f t="shared" ref="G181:I181" si="79">G$141*$D$136*$F$143</f>
        <v>16903738.973650008</v>
      </c>
      <c r="H181" s="116">
        <f t="shared" si="79"/>
        <v>25355608.460475013</v>
      </c>
      <c r="I181" s="116">
        <f t="shared" si="79"/>
        <v>33807477.947300017</v>
      </c>
      <c r="J181" s="220"/>
    </row>
    <row r="182" spans="1:10">
      <c r="A182" s="7" t="s">
        <v>15</v>
      </c>
      <c r="D182" s="120">
        <f t="shared" ref="D182:E182" si="80">D$141*$E$136*D143</f>
        <v>0</v>
      </c>
      <c r="E182" s="120">
        <f t="shared" si="80"/>
        <v>0</v>
      </c>
      <c r="F182" s="120">
        <f>F$141*$E$136*F143</f>
        <v>3051032.1017248831</v>
      </c>
      <c r="G182" s="120">
        <f t="shared" ref="G182:I182" si="81">G$141*$E$136*G143</f>
        <v>6328066.5813553128</v>
      </c>
      <c r="H182" s="120">
        <f t="shared" si="81"/>
        <v>9831103.4388912879</v>
      </c>
      <c r="I182" s="120">
        <f t="shared" si="81"/>
        <v>13560142.674332812</v>
      </c>
    </row>
    <row r="183" spans="1:10">
      <c r="A183" s="7" t="s">
        <v>16</v>
      </c>
      <c r="D183" s="120">
        <f t="shared" ref="D183:E183" si="82">D$141*$F$136*$F$143</f>
        <v>0</v>
      </c>
      <c r="E183" s="120">
        <f t="shared" si="82"/>
        <v>0</v>
      </c>
      <c r="F183" s="120">
        <f>F$141*$F$136*$F$143</f>
        <v>767961.71241470415</v>
      </c>
      <c r="G183" s="120">
        <f t="shared" ref="G183:I183" si="83">G$141*$F$136*$F$143</f>
        <v>1535923.4248294083</v>
      </c>
      <c r="H183" s="120">
        <f t="shared" si="83"/>
        <v>2303885.1372441128</v>
      </c>
      <c r="I183" s="120">
        <f t="shared" si="83"/>
        <v>3071846.8496588166</v>
      </c>
    </row>
    <row r="184" spans="1:10">
      <c r="A184" s="20" t="s">
        <v>55</v>
      </c>
      <c r="D184" s="120">
        <f t="shared" ref="D184:E184" si="84">D$141*$G$136*D143</f>
        <v>0</v>
      </c>
      <c r="E184" s="120">
        <f t="shared" si="84"/>
        <v>0</v>
      </c>
      <c r="F184" s="120">
        <f>F$141*$G$136*F143</f>
        <v>7503552.5415257979</v>
      </c>
      <c r="G184" s="120">
        <f t="shared" ref="G184:I184" si="85">G$141*$G$136*G143</f>
        <v>15562923.789831284</v>
      </c>
      <c r="H184" s="120">
        <f t="shared" si="85"/>
        <v>24178113.744916458</v>
      </c>
      <c r="I184" s="120">
        <f t="shared" si="85"/>
        <v>33349122.40678132</v>
      </c>
    </row>
    <row r="185" spans="1:10">
      <c r="A185" s="7" t="s">
        <v>17</v>
      </c>
      <c r="D185" s="120">
        <f t="shared" ref="D185:E185" si="86">D$141*$H$136*$F$143</f>
        <v>0</v>
      </c>
      <c r="E185" s="120">
        <f t="shared" si="86"/>
        <v>0</v>
      </c>
      <c r="F185" s="120">
        <f>F$141*$H$136*$F$143</f>
        <v>775013.38317367528</v>
      </c>
      <c r="G185" s="120">
        <f t="shared" ref="G185:I185" si="87">G$141*$H$136*$F$143</f>
        <v>1550026.7663473506</v>
      </c>
      <c r="H185" s="120">
        <f t="shared" si="87"/>
        <v>2325040.1495210258</v>
      </c>
      <c r="I185" s="120">
        <f t="shared" si="87"/>
        <v>3100053.5326947011</v>
      </c>
    </row>
    <row r="186" spans="1:10">
      <c r="A186" s="7" t="s">
        <v>18</v>
      </c>
      <c r="D186" s="120">
        <f t="shared" ref="D186:E186" si="88">D$141*$I$136*$F$143</f>
        <v>0</v>
      </c>
      <c r="E186" s="120">
        <f t="shared" si="88"/>
        <v>0</v>
      </c>
      <c r="F186" s="120">
        <f>F$141*$I$136*$F$143</f>
        <v>114616.58003475856</v>
      </c>
      <c r="G186" s="120">
        <f t="shared" ref="G186:I186" si="89">G$141*$I$136*$F$143</f>
        <v>229233.16006951712</v>
      </c>
      <c r="H186" s="120">
        <f t="shared" si="89"/>
        <v>343849.7401042757</v>
      </c>
      <c r="I186" s="120">
        <f t="shared" si="89"/>
        <v>458466.32013903424</v>
      </c>
    </row>
    <row r="187" spans="1:10">
      <c r="A187" s="7" t="s">
        <v>19</v>
      </c>
      <c r="D187" s="120">
        <f t="shared" ref="D187:E187" si="90">D$141*$J$136*$F$143</f>
        <v>0</v>
      </c>
      <c r="E187" s="120">
        <f t="shared" si="90"/>
        <v>0</v>
      </c>
      <c r="F187" s="120">
        <f>F$141*$J$136*$F$143</f>
        <v>833013.80050408735</v>
      </c>
      <c r="G187" s="120">
        <f t="shared" ref="G187:I187" si="91">G$141*$J$136*$F$143</f>
        <v>1666027.6010081747</v>
      </c>
      <c r="H187" s="120">
        <f t="shared" si="91"/>
        <v>2499041.4015122619</v>
      </c>
      <c r="I187" s="120">
        <f t="shared" si="91"/>
        <v>3332055.2020163494</v>
      </c>
    </row>
    <row r="188" spans="1:10">
      <c r="A188" s="7" t="s">
        <v>20</v>
      </c>
      <c r="D188" s="120">
        <f t="shared" ref="D188:E188" si="92">D$141*$K$136*$F$143</f>
        <v>0</v>
      </c>
      <c r="E188" s="120">
        <f t="shared" si="92"/>
        <v>0</v>
      </c>
      <c r="F188" s="120">
        <f>F$141*$K$136*$F$143</f>
        <v>804274.97049076145</v>
      </c>
      <c r="G188" s="120">
        <f t="shared" ref="G188:I188" si="93">G$141*$K$136*$F$143</f>
        <v>1608549.9409815229</v>
      </c>
      <c r="H188" s="120">
        <f t="shared" si="93"/>
        <v>2412824.9114722847</v>
      </c>
      <c r="I188" s="120">
        <f t="shared" si="93"/>
        <v>3217099.8819630458</v>
      </c>
    </row>
    <row r="189" spans="1:10">
      <c r="A189" s="7" t="s">
        <v>21</v>
      </c>
      <c r="D189" s="120">
        <f t="shared" ref="D189:E189" si="94">D$141*$L$136*$F$143</f>
        <v>0</v>
      </c>
      <c r="E189" s="120">
        <f t="shared" si="94"/>
        <v>0</v>
      </c>
      <c r="F189" s="120">
        <f>F$141*$L$136*$F$143</f>
        <v>72801.955972061303</v>
      </c>
      <c r="G189" s="120">
        <f t="shared" ref="G189:I189" si="95">G$141*$L$136*$F$143</f>
        <v>145603.91194412261</v>
      </c>
      <c r="H189" s="120">
        <f t="shared" si="95"/>
        <v>218405.86791618395</v>
      </c>
      <c r="I189" s="120">
        <f t="shared" si="95"/>
        <v>291207.82388824521</v>
      </c>
    </row>
    <row r="190" spans="1:10">
      <c r="A190" s="7" t="s">
        <v>22</v>
      </c>
      <c r="D190" s="120">
        <f t="shared" ref="D190:E190" si="96">D$141*$M$136*$F$143</f>
        <v>0</v>
      </c>
      <c r="E190" s="120">
        <f t="shared" si="96"/>
        <v>0</v>
      </c>
      <c r="F190" s="120">
        <f>F$141*$M$136*$F$143</f>
        <v>185931.86039831766</v>
      </c>
      <c r="G190" s="120">
        <f t="shared" ref="G190:I190" si="97">G$141*$M$136*$F$143</f>
        <v>371863.72079663532</v>
      </c>
      <c r="H190" s="120">
        <f t="shared" si="97"/>
        <v>557795.58119495295</v>
      </c>
      <c r="I190" s="120">
        <f t="shared" si="97"/>
        <v>743727.44159327063</v>
      </c>
    </row>
    <row r="191" spans="1:10">
      <c r="A191" s="7" t="s">
        <v>65</v>
      </c>
      <c r="D191" s="120">
        <f t="shared" ref="D191:E191" si="98">D$141*$N$136*$F$143</f>
        <v>0</v>
      </c>
      <c r="E191" s="120">
        <f t="shared" si="98"/>
        <v>0</v>
      </c>
      <c r="F191" s="120">
        <f>F$141*$N$136*$F$143</f>
        <v>225711.07067004492</v>
      </c>
      <c r="G191" s="120">
        <f t="shared" ref="G191:I191" si="99">G$141*$N$136*$F$143</f>
        <v>451422.14134008985</v>
      </c>
      <c r="H191" s="120">
        <f t="shared" si="99"/>
        <v>677133.21201013483</v>
      </c>
      <c r="I191" s="120">
        <f t="shared" si="99"/>
        <v>902844.28268017969</v>
      </c>
    </row>
    <row r="192" spans="1:10">
      <c r="A192" s="2" t="s">
        <v>47</v>
      </c>
      <c r="D192" s="120">
        <f t="shared" ref="D192:E192" si="100">D$141*$O$136*$F$143</f>
        <v>0</v>
      </c>
      <c r="E192" s="120">
        <f t="shared" si="100"/>
        <v>0</v>
      </c>
      <c r="F192" s="120">
        <f>F$141*$O$136*$F$143</f>
        <v>66090.116628191783</v>
      </c>
      <c r="G192" s="120">
        <f t="shared" ref="G192:I192" si="101">G$141*$O$136*$F$143</f>
        <v>132180.23325638357</v>
      </c>
      <c r="H192" s="120">
        <f t="shared" si="101"/>
        <v>198270.34988457538</v>
      </c>
      <c r="I192" s="120">
        <f t="shared" si="101"/>
        <v>264360.46651276713</v>
      </c>
    </row>
    <row r="193" spans="1:9">
      <c r="A193" s="14" t="s">
        <v>72</v>
      </c>
      <c r="B193" s="251"/>
      <c r="C193" s="251"/>
      <c r="D193" s="196">
        <f>SUM(D181:D192)</f>
        <v>0</v>
      </c>
      <c r="E193" s="196">
        <f>SUM(E181:E192)</f>
        <v>0</v>
      </c>
      <c r="F193" s="196">
        <f>SUM(F181:F192)</f>
        <v>22851869.58036229</v>
      </c>
      <c r="G193" s="196">
        <f t="shared" ref="G193:I193" si="102">SUM(G181:G192)</f>
        <v>46485560.245409817</v>
      </c>
      <c r="H193" s="196">
        <f t="shared" si="102"/>
        <v>70901071.995142564</v>
      </c>
      <c r="I193" s="196">
        <f t="shared" si="102"/>
        <v>96098404.829560563</v>
      </c>
    </row>
    <row r="195" spans="1:9">
      <c r="F195" s="188"/>
    </row>
    <row r="196" spans="1:9" ht="13.5" thickBot="1">
      <c r="A196" s="211" t="s">
        <v>162</v>
      </c>
      <c r="B196" s="211"/>
      <c r="C196" s="211"/>
      <c r="D196" s="190">
        <f t="shared" ref="D196:H196" si="103">D176-D193</f>
        <v>0</v>
      </c>
      <c r="E196" s="190">
        <f t="shared" si="103"/>
        <v>0</v>
      </c>
      <c r="F196" s="190">
        <f t="shared" si="103"/>
        <v>2485747.7052580975</v>
      </c>
      <c r="G196" s="190">
        <f t="shared" si="103"/>
        <v>6066534.8655065298</v>
      </c>
      <c r="H196" s="190">
        <f t="shared" si="103"/>
        <v>10742361.48074533</v>
      </c>
      <c r="I196" s="190">
        <f>I176-I193</f>
        <v>16513227.550974473</v>
      </c>
    </row>
    <row r="197" spans="1:9" ht="13.5" thickTop="1"/>
  </sheetData>
  <hyperlinks>
    <hyperlink ref="J1" location="Index!A1" display="Return to Index"/>
  </hyperlinks>
  <printOptions horizontalCentered="1"/>
  <pageMargins left="0.25" right="0.25" top="0.5" bottom="0.5" header="0.5" footer="0.5"/>
  <pageSetup scale="82" orientation="landscape" horizontalDpi="1200" verticalDpi="1200" r:id="rId1"/>
  <headerFooter alignWithMargins="0">
    <oddFooter>&amp;L&amp;8Planning &amp; Accountability&amp;R&amp;8&amp;D</oddFooter>
  </headerFooter>
  <colBreaks count="1" manualBreakCount="1">
    <brk id="1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7109375" style="53" customWidth="1"/>
    <col min="3" max="3" width="47.140625" style="53" customWidth="1"/>
    <col min="4" max="4" width="20.140625" style="53" customWidth="1"/>
    <col min="5" max="16384" width="9.140625" style="53"/>
  </cols>
  <sheetData>
    <row r="1" spans="1:5" ht="27.75" customHeight="1">
      <c r="A1" s="52" t="s">
        <v>104</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'UNTHSC Sum'!A9</f>
        <v>State of Texas</v>
      </c>
      <c r="D11" s="61">
        <f>'UNTHSC Sum'!B15</f>
        <v>122999249</v>
      </c>
      <c r="E11" s="673">
        <f>ROUND(D11/$D$17,3)</f>
        <v>0.433</v>
      </c>
    </row>
    <row r="12" spans="1:5" ht="12.95" customHeight="1">
      <c r="B12" s="56"/>
      <c r="C12" s="60" t="str">
        <f>'UNTHSC Sum'!A17</f>
        <v>Student &amp; Parent</v>
      </c>
      <c r="D12" s="61">
        <f>'UNTHSC Sum'!B20</f>
        <v>29810882</v>
      </c>
      <c r="E12" s="673">
        <f t="shared" ref="E12:E15" si="0">ROUND(D12/$D$17,3)</f>
        <v>0.105</v>
      </c>
    </row>
    <row r="13" spans="1:5" ht="12.95" customHeight="1">
      <c r="B13" s="56"/>
      <c r="C13" s="60" t="str">
        <f>'UNTHSC Sum'!A22</f>
        <v>Federal Government</v>
      </c>
      <c r="D13" s="61">
        <f>'UNTHSC Sum'!B23</f>
        <v>37000670</v>
      </c>
      <c r="E13" s="673">
        <f t="shared" si="0"/>
        <v>0.13</v>
      </c>
    </row>
    <row r="14" spans="1:5" ht="12.95" customHeight="1">
      <c r="B14" s="56"/>
      <c r="C14" s="60" t="str">
        <f>'UNTHSC Sum'!A31</f>
        <v>Institutional Resources</v>
      </c>
      <c r="D14" s="61">
        <f>'UNTHSC Sum'!B38</f>
        <v>78939605</v>
      </c>
      <c r="E14" s="673">
        <f t="shared" si="0"/>
        <v>0.27800000000000002</v>
      </c>
    </row>
    <row r="15" spans="1:5" ht="12.95" customHeight="1">
      <c r="B15" s="56"/>
      <c r="C15" s="62" t="s">
        <v>58</v>
      </c>
      <c r="D15" s="61">
        <f>'UNTHSC Sum'!B29+'UNTHSC Sum'!B26</f>
        <v>15378723</v>
      </c>
      <c r="E15" s="673">
        <f t="shared" si="0"/>
        <v>5.3999999999999999E-2</v>
      </c>
    </row>
    <row r="16" spans="1:5" ht="12.95" customHeight="1">
      <c r="B16" s="56"/>
      <c r="C16" s="58"/>
      <c r="D16" s="59"/>
    </row>
    <row r="17" spans="1:5" ht="12.95" customHeight="1">
      <c r="B17" s="56"/>
      <c r="C17" s="63" t="s">
        <v>71</v>
      </c>
      <c r="D17" s="64">
        <f>SUM(D11:D16)</f>
        <v>284129129</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$284,129,129</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'UNTHSC Sum'!B10</f>
        <v>102748866</v>
      </c>
      <c r="E53" s="673">
        <f>ROUND(D53/$D$68,3)</f>
        <v>0.36199999999999999</v>
      </c>
    </row>
    <row r="54" spans="1:5" ht="12.95" customHeight="1">
      <c r="C54" s="60" t="s">
        <v>76</v>
      </c>
      <c r="D54" s="61">
        <f>'UNTHSC Sum'!B11</f>
        <v>3158527</v>
      </c>
      <c r="E54" s="673">
        <f t="shared" ref="E54:E67" si="1">ROUND(D54/$D$68,3)</f>
        <v>1.0999999999999999E-2</v>
      </c>
    </row>
    <row r="55" spans="1:5" ht="12.95" customHeight="1">
      <c r="C55" s="907"/>
      <c r="D55" s="61"/>
      <c r="E55" s="673"/>
    </row>
    <row r="56" spans="1:5" ht="12.95" customHeight="1">
      <c r="C56" s="60" t="str">
        <f>'UNTHSC Sum'!A13</f>
        <v>Higher Education Fund</v>
      </c>
      <c r="D56" s="61">
        <f>'UNTHSC Sum'!B13</f>
        <v>17091856</v>
      </c>
      <c r="E56" s="673">
        <f t="shared" si="1"/>
        <v>0.06</v>
      </c>
    </row>
    <row r="57" spans="1:5" ht="12.95" customHeight="1">
      <c r="C57" s="907" t="s">
        <v>39</v>
      </c>
      <c r="D57" s="61">
        <f>'UNTHSC Sum'!B14</f>
        <v>0</v>
      </c>
      <c r="E57" s="673">
        <f t="shared" si="1"/>
        <v>0</v>
      </c>
    </row>
    <row r="58" spans="1:5" ht="12.95" customHeight="1">
      <c r="C58" s="60" t="s">
        <v>77</v>
      </c>
      <c r="D58" s="61">
        <f>'UNTHSC Sum'!B20</f>
        <v>29810882</v>
      </c>
      <c r="E58" s="673">
        <f t="shared" si="1"/>
        <v>0.105</v>
      </c>
    </row>
    <row r="59" spans="1:5" ht="12.95" customHeight="1">
      <c r="C59" s="66" t="s">
        <v>78</v>
      </c>
      <c r="D59" s="61">
        <f>'UNTHSC Sum'!B23</f>
        <v>37000670</v>
      </c>
      <c r="E59" s="673">
        <f t="shared" si="1"/>
        <v>0.13</v>
      </c>
    </row>
    <row r="60" spans="1:5" ht="12.95" customHeight="1">
      <c r="C60" s="60" t="s">
        <v>79</v>
      </c>
      <c r="D60" s="61">
        <f>'UNTHSC Sum'!B32</f>
        <v>8254807</v>
      </c>
      <c r="E60" s="673">
        <f t="shared" si="1"/>
        <v>2.9000000000000001E-2</v>
      </c>
    </row>
    <row r="61" spans="1:5" ht="12.95" customHeight="1">
      <c r="C61" s="60" t="s">
        <v>198</v>
      </c>
      <c r="D61" s="61">
        <f>'UNTHSC Sum'!B33</f>
        <v>799557</v>
      </c>
      <c r="E61" s="673">
        <f t="shared" si="1"/>
        <v>3.0000000000000001E-3</v>
      </c>
    </row>
    <row r="62" spans="1:5" ht="12.95" customHeight="1">
      <c r="C62" s="60" t="s">
        <v>80</v>
      </c>
      <c r="D62" s="61">
        <f>'UNTHSC Sum'!B34</f>
        <v>9005129</v>
      </c>
      <c r="E62" s="673">
        <f t="shared" si="1"/>
        <v>3.2000000000000001E-2</v>
      </c>
    </row>
    <row r="63" spans="1:5" ht="12.95" customHeight="1">
      <c r="C63" s="60" t="s">
        <v>81</v>
      </c>
      <c r="D63" s="61">
        <f>'UNTHSC Sum'!B35</f>
        <v>59689998</v>
      </c>
      <c r="E63" s="673">
        <f t="shared" si="1"/>
        <v>0.21</v>
      </c>
    </row>
    <row r="64" spans="1:5" ht="12.95" customHeight="1">
      <c r="C64" s="907" t="s">
        <v>12</v>
      </c>
      <c r="D64" s="61">
        <f>'UNTHSC Sum'!B36</f>
        <v>625243</v>
      </c>
      <c r="E64" s="673">
        <f t="shared" si="1"/>
        <v>2E-3</v>
      </c>
    </row>
    <row r="65" spans="1:5" ht="12.95" customHeight="1">
      <c r="C65" s="66" t="s">
        <v>48</v>
      </c>
      <c r="D65" s="61">
        <f>'UNTHSC Sum'!B37</f>
        <v>564871</v>
      </c>
      <c r="E65" s="673">
        <f t="shared" si="1"/>
        <v>2E-3</v>
      </c>
    </row>
    <row r="66" spans="1:5" ht="12.95" customHeight="1">
      <c r="C66" s="66" t="s">
        <v>57</v>
      </c>
      <c r="D66" s="61">
        <f>'UNTHSC Sum'!B26</f>
        <v>15378723</v>
      </c>
      <c r="E66" s="673">
        <f t="shared" si="1"/>
        <v>5.3999999999999999E-2</v>
      </c>
    </row>
    <row r="67" spans="1:5" ht="12.95" customHeight="1">
      <c r="C67" s="912" t="s">
        <v>58</v>
      </c>
      <c r="D67" s="61">
        <f>'UNTHSC Sum'!B29</f>
        <v>0</v>
      </c>
      <c r="E67" s="673">
        <f t="shared" si="1"/>
        <v>0</v>
      </c>
    </row>
    <row r="68" spans="1:5" ht="12.95" customHeight="1">
      <c r="C68" s="63" t="s">
        <v>71</v>
      </c>
      <c r="D68" s="64">
        <f>SUM(D53:D67)</f>
        <v>284129129</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$284,129,129</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'UNTHSC Sum'!B42</f>
        <v>70535325</v>
      </c>
      <c r="E102" s="673">
        <f>ROUND(D102/$D$115,3)</f>
        <v>0.32800000000000001</v>
      </c>
    </row>
    <row r="103" spans="1:5" ht="12.95" customHeight="1">
      <c r="C103" s="68" t="s">
        <v>15</v>
      </c>
      <c r="D103" s="61">
        <f>'UNTHSC Sum'!B43</f>
        <v>36080019</v>
      </c>
      <c r="E103" s="673">
        <f t="shared" ref="E103:E113" si="2">ROUND(D103/$D$115,3)</f>
        <v>0.16800000000000001</v>
      </c>
    </row>
    <row r="104" spans="1:5" ht="12.95" customHeight="1">
      <c r="C104" s="68" t="s">
        <v>16</v>
      </c>
      <c r="D104" s="61">
        <f>'UNTHSC Sum'!B44</f>
        <v>45182938</v>
      </c>
      <c r="E104" s="673">
        <f t="shared" si="2"/>
        <v>0.21</v>
      </c>
    </row>
    <row r="105" spans="1:5" ht="12.95" customHeight="1">
      <c r="C105" s="68" t="s">
        <v>17</v>
      </c>
      <c r="D105" s="61">
        <f>'UNTHSC Sum'!B46</f>
        <v>19200650</v>
      </c>
      <c r="E105" s="673">
        <f t="shared" si="2"/>
        <v>8.8999999999999996E-2</v>
      </c>
    </row>
    <row r="106" spans="1:5" ht="12.95" customHeight="1">
      <c r="C106" s="68" t="s">
        <v>18</v>
      </c>
      <c r="D106" s="61">
        <f>'UNTHSC Sum'!B47</f>
        <v>5516917</v>
      </c>
      <c r="E106" s="673">
        <f t="shared" si="2"/>
        <v>2.5999999999999999E-2</v>
      </c>
    </row>
    <row r="107" spans="1:5" ht="12.95" customHeight="1">
      <c r="C107" s="68" t="s">
        <v>19</v>
      </c>
      <c r="D107" s="61">
        <f>'UNTHSC Sum'!B48</f>
        <v>17955894</v>
      </c>
      <c r="E107" s="673">
        <f t="shared" si="2"/>
        <v>8.4000000000000005E-2</v>
      </c>
    </row>
    <row r="108" spans="1:5" ht="12.95" customHeight="1">
      <c r="C108" s="68" t="s">
        <v>82</v>
      </c>
      <c r="D108" s="61">
        <f>'UNTHSC Sum'!B49</f>
        <v>13375730</v>
      </c>
      <c r="E108" s="673">
        <f t="shared" si="2"/>
        <v>6.2E-2</v>
      </c>
    </row>
    <row r="109" spans="1:5" ht="12.95" customHeight="1">
      <c r="C109" s="68" t="s">
        <v>83</v>
      </c>
      <c r="D109" s="61">
        <f>'UNTHSC Sum'!B50</f>
        <v>546507</v>
      </c>
      <c r="E109" s="673">
        <f t="shared" si="2"/>
        <v>3.0000000000000001E-3</v>
      </c>
    </row>
    <row r="110" spans="1:5" ht="12.95" customHeight="1">
      <c r="C110" s="68" t="s">
        <v>22</v>
      </c>
      <c r="D110" s="61">
        <f>'UNTHSC Sum'!B51</f>
        <v>484952</v>
      </c>
      <c r="E110" s="673">
        <f t="shared" si="2"/>
        <v>2E-3</v>
      </c>
    </row>
    <row r="111" spans="1:5" ht="12.95" customHeight="1">
      <c r="C111" s="62" t="s">
        <v>27</v>
      </c>
      <c r="D111" s="61">
        <f>'UNTHSC Sum'!B52</f>
        <v>5853999</v>
      </c>
      <c r="E111" s="673">
        <f t="shared" si="2"/>
        <v>2.7E-2</v>
      </c>
    </row>
    <row r="112" spans="1:5" ht="12.95" customHeight="1">
      <c r="C112" s="66" t="s">
        <v>49</v>
      </c>
      <c r="D112" s="61">
        <f>'UNTHSC Sum'!B53</f>
        <v>102396</v>
      </c>
      <c r="E112" s="673">
        <f t="shared" si="2"/>
        <v>0</v>
      </c>
    </row>
    <row r="113" spans="3:5" ht="12.95" customHeight="1">
      <c r="C113" s="912" t="s">
        <v>84</v>
      </c>
      <c r="D113" s="61">
        <f>'UNTHSC Sum'!B45</f>
        <v>0</v>
      </c>
      <c r="E113" s="673">
        <f t="shared" si="2"/>
        <v>0</v>
      </c>
    </row>
    <row r="114" spans="3:5" ht="12.95" customHeight="1">
      <c r="C114" s="58"/>
      <c r="D114" s="58"/>
      <c r="E114" s="674"/>
    </row>
    <row r="115" spans="3:5" ht="12.95" customHeight="1">
      <c r="C115" s="70" t="s">
        <v>72</v>
      </c>
      <c r="D115" s="64">
        <f>SUM(D102:D114)</f>
        <v>214835327</v>
      </c>
      <c r="E115" s="674">
        <f>SUM(E102:E113)</f>
        <v>0.99899999999999989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$214,835,327</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 style="74" customWidth="1"/>
    <col min="16" max="16384" width="9.140625" style="74"/>
  </cols>
  <sheetData>
    <row r="1" spans="1:15" ht="17.25" thickTop="1" thickBot="1">
      <c r="A1" s="141" t="str">
        <f>'UNTHSC Chts'!$A$1</f>
        <v>University of North Texas Health Science Center at Fort Worth</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130</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2836.2200000000003</v>
      </c>
      <c r="J6" s="643"/>
      <c r="O6" s="51"/>
    </row>
    <row r="7" spans="1:15">
      <c r="B7" s="79"/>
      <c r="C7" s="5"/>
      <c r="I7" s="683" t="s">
        <v>1114</v>
      </c>
      <c r="J7" s="684"/>
      <c r="O7" s="51"/>
    </row>
    <row r="8" spans="1:15">
      <c r="A8" s="81" t="s">
        <v>74</v>
      </c>
      <c r="B8" s="81"/>
      <c r="C8" s="15"/>
      <c r="I8" s="685">
        <f>VLOOKUP($G$2,FTSELU,11,FALSE)</f>
        <v>417.99</v>
      </c>
      <c r="J8" s="643"/>
      <c r="O8" s="51"/>
    </row>
    <row r="9" spans="1:15" ht="12.75" customHeight="1" thickBot="1">
      <c r="A9" s="78" t="s">
        <v>0</v>
      </c>
      <c r="B9" s="82"/>
      <c r="C9" s="369"/>
      <c r="J9" s="643"/>
      <c r="O9" s="51"/>
    </row>
    <row r="10" spans="1:15" ht="12.75" customHeight="1" thickTop="1">
      <c r="A10" s="74" t="s">
        <v>1108</v>
      </c>
      <c r="B10" s="83">
        <f>'UNTHSC FGD'!M10</f>
        <v>102748866</v>
      </c>
      <c r="C10" s="86">
        <f>ROUND(B10/$C$6,0)</f>
        <v>36227</v>
      </c>
      <c r="D10" s="143">
        <f>'UNTHSC FGD'!F10</f>
        <v>0</v>
      </c>
      <c r="E10" s="143"/>
      <c r="F10" s="84">
        <f>B10-(SUM(D10:E10))</f>
        <v>102748866</v>
      </c>
      <c r="G10" s="980" t="s">
        <v>1</v>
      </c>
      <c r="H10" s="981"/>
      <c r="I10" s="686" t="s">
        <v>1115</v>
      </c>
      <c r="J10" s="644">
        <f>ROUND(F10/$C$6,0)</f>
        <v>36227</v>
      </c>
      <c r="O10" s="51"/>
    </row>
    <row r="11" spans="1:15" ht="12.75" customHeight="1" thickBot="1">
      <c r="A11" s="74" t="s">
        <v>2</v>
      </c>
      <c r="B11" s="86">
        <f>'UNTHSC FGD'!M11</f>
        <v>3158527</v>
      </c>
      <c r="C11" s="86">
        <f t="shared" ref="C11:C14" si="0">ROUND(B11/$C$6,0)</f>
        <v>1114</v>
      </c>
      <c r="D11" s="284">
        <f>'UNTHSC FGD'!F11</f>
        <v>0</v>
      </c>
      <c r="E11" s="73"/>
      <c r="F11" s="566">
        <f t="shared" ref="F11:F14" si="1">B11-(SUM(D11:E11))</f>
        <v>3158527</v>
      </c>
      <c r="G11" s="987">
        <f>SUM(F10:F11)</f>
        <v>105907393</v>
      </c>
      <c r="H11" s="777"/>
      <c r="I11" s="791">
        <f>ROUND($G$11/$C$6,0)</f>
        <v>37341</v>
      </c>
      <c r="J11" s="645">
        <f t="shared" ref="J11:J14" si="2">ROUND(F11/$C$6,0)</f>
        <v>1114</v>
      </c>
      <c r="O11" s="51"/>
    </row>
    <row r="12" spans="1:15" ht="12.75" hidden="1" customHeight="1" thickTop="1" thickBot="1">
      <c r="A12" s="74" t="s">
        <v>1345</v>
      </c>
      <c r="B12" s="86"/>
      <c r="C12" s="86"/>
      <c r="D12" s="284"/>
      <c r="E12" s="73"/>
      <c r="F12" s="567"/>
      <c r="J12" s="645"/>
      <c r="O12" s="568"/>
    </row>
    <row r="13" spans="1:15" ht="12.75" customHeight="1" thickTop="1">
      <c r="A13" s="74" t="s">
        <v>1298</v>
      </c>
      <c r="B13" s="86">
        <f>'UNTHSC FGD'!M13</f>
        <v>17091856</v>
      </c>
      <c r="C13" s="86">
        <f t="shared" si="0"/>
        <v>6026</v>
      </c>
      <c r="D13" s="284">
        <f>'UNTHSC FGD'!F13</f>
        <v>0</v>
      </c>
      <c r="E13" s="73"/>
      <c r="F13" s="786">
        <f t="shared" si="1"/>
        <v>17091856</v>
      </c>
      <c r="G13" s="780" t="s">
        <v>86</v>
      </c>
      <c r="H13" s="787"/>
      <c r="I13" s="731" t="s">
        <v>1116</v>
      </c>
      <c r="J13" s="645">
        <f t="shared" si="2"/>
        <v>6026</v>
      </c>
      <c r="O13" s="51"/>
    </row>
    <row r="14" spans="1:15" ht="12.75" customHeight="1" thickBot="1">
      <c r="A14" s="74" t="s">
        <v>46</v>
      </c>
      <c r="B14" s="86">
        <f>'UNTHSC FGD'!M14</f>
        <v>0</v>
      </c>
      <c r="C14" s="86">
        <f t="shared" si="0"/>
        <v>0</v>
      </c>
      <c r="D14" s="284">
        <f>'UNTHSC FGD'!F14</f>
        <v>0</v>
      </c>
      <c r="E14" s="73"/>
      <c r="F14" s="567">
        <f t="shared" si="1"/>
        <v>0</v>
      </c>
      <c r="G14" s="687">
        <f>SUM(F13:F14)</f>
        <v>17091856</v>
      </c>
      <c r="H14" s="788"/>
      <c r="I14" s="792">
        <f>ROUND($G$11/$I$8,0)</f>
        <v>253373</v>
      </c>
      <c r="J14" s="689">
        <f t="shared" si="2"/>
        <v>0</v>
      </c>
      <c r="O14" s="51"/>
    </row>
    <row r="15" spans="1:15" ht="12.75" customHeight="1" thickTop="1">
      <c r="A15" s="87" t="s">
        <v>3</v>
      </c>
      <c r="B15" s="88">
        <f>SUM(B10:B14)</f>
        <v>122999249</v>
      </c>
      <c r="C15" s="370">
        <f>SUM(C10:C14)</f>
        <v>43367</v>
      </c>
      <c r="D15" s="88">
        <f>SUM(D10:D14)</f>
        <v>0</v>
      </c>
      <c r="E15" s="88">
        <f>SUM(E10:E14)</f>
        <v>0</v>
      </c>
      <c r="F15" s="646">
        <f>SUM(F10:F14)</f>
        <v>122999249</v>
      </c>
      <c r="I15" s="785"/>
      <c r="J15" s="669">
        <f>SUM(J10:J14)</f>
        <v>43367</v>
      </c>
      <c r="O15" s="51"/>
    </row>
    <row r="16" spans="1:15">
      <c r="C16" s="86"/>
      <c r="J16" s="643"/>
      <c r="O16" s="51"/>
    </row>
    <row r="17" spans="1:15" ht="12.75" customHeight="1">
      <c r="A17" s="78" t="s">
        <v>4</v>
      </c>
      <c r="C17" s="86"/>
      <c r="J17" s="643"/>
      <c r="O17" s="51"/>
    </row>
    <row r="18" spans="1:15">
      <c r="A18" s="74" t="s">
        <v>37</v>
      </c>
      <c r="B18" s="83">
        <f>'UNTHSC FGD'!M29</f>
        <v>21550206</v>
      </c>
      <c r="C18" s="86">
        <f t="shared" ref="C18:C19" si="3">ROUND(B18/$C$6,0)</f>
        <v>7598</v>
      </c>
      <c r="D18" s="143">
        <f>'UNTHSC FGD'!$F$29</f>
        <v>0</v>
      </c>
      <c r="E18" s="143"/>
      <c r="F18" s="143">
        <f t="shared" ref="F18:F19" si="4">B18-(SUM(D18:E18))</f>
        <v>21550206</v>
      </c>
      <c r="G18" s="351"/>
      <c r="H18" s="351"/>
      <c r="I18" s="351"/>
      <c r="J18" s="644">
        <f>ROUND(F18/$C$6,0)</f>
        <v>7598</v>
      </c>
      <c r="O18" s="51"/>
    </row>
    <row r="19" spans="1:15" ht="13.5" thickBot="1">
      <c r="A19" s="74" t="s">
        <v>38</v>
      </c>
      <c r="B19" s="86">
        <f>'UNTHSC FGD'!M42</f>
        <v>8260676</v>
      </c>
      <c r="C19" s="86">
        <f t="shared" si="3"/>
        <v>2913</v>
      </c>
      <c r="D19" s="73">
        <f>'UNTHSC FGD'!$F$42</f>
        <v>0</v>
      </c>
      <c r="E19" s="73"/>
      <c r="F19" s="73">
        <f t="shared" si="4"/>
        <v>8260676</v>
      </c>
      <c r="G19" s="351"/>
      <c r="H19" s="351"/>
      <c r="I19" s="351"/>
      <c r="J19" s="645">
        <f>ROUND(F19/$C$6,0)</f>
        <v>2913</v>
      </c>
      <c r="O19" s="51"/>
    </row>
    <row r="20" spans="1:15" ht="14.25" thickTop="1" thickBot="1">
      <c r="A20" s="87" t="s">
        <v>5</v>
      </c>
      <c r="B20" s="88">
        <f>SUM(B18:B19)</f>
        <v>29810882</v>
      </c>
      <c r="C20" s="370">
        <f>SUM(C18:C19)</f>
        <v>10511</v>
      </c>
      <c r="D20" s="647">
        <f>SUM(D18:D19)</f>
        <v>0</v>
      </c>
      <c r="E20" s="648">
        <f>SUM(E18:E19)</f>
        <v>0</v>
      </c>
      <c r="F20" s="690">
        <f>SUM(F18:F19)</f>
        <v>29810882</v>
      </c>
      <c r="G20" s="650" t="s">
        <v>87</v>
      </c>
      <c r="H20" s="569"/>
      <c r="I20" s="570"/>
      <c r="J20" s="651">
        <f>SUM(J18:J19)</f>
        <v>10511</v>
      </c>
      <c r="O20" s="51"/>
    </row>
    <row r="21" spans="1:15" ht="12.75" customHeight="1" thickTop="1">
      <c r="C21" s="86"/>
      <c r="F21" s="691"/>
      <c r="J21" s="643"/>
      <c r="O21" s="51"/>
    </row>
    <row r="22" spans="1:15" ht="14.25" customHeight="1" thickBot="1">
      <c r="A22" s="78" t="s">
        <v>6</v>
      </c>
      <c r="C22" s="86"/>
      <c r="J22" s="643"/>
      <c r="O22" s="51"/>
    </row>
    <row r="23" spans="1:15" ht="14.25" thickTop="1" thickBot="1">
      <c r="A23" s="87" t="s">
        <v>7</v>
      </c>
      <c r="B23" s="88">
        <f>'UNTHSC FGD'!M47</f>
        <v>37000670</v>
      </c>
      <c r="C23" s="88"/>
      <c r="D23" s="647">
        <f>'UNTHSC FGD'!F47</f>
        <v>0</v>
      </c>
      <c r="E23" s="648"/>
      <c r="F23" s="690">
        <f>B23-(SUM(D23:E23))</f>
        <v>37000670</v>
      </c>
      <c r="G23" s="652" t="s">
        <v>1162</v>
      </c>
      <c r="H23" s="569"/>
      <c r="I23" s="570"/>
      <c r="J23" s="668">
        <f>ROUND(F23/$C$6,0)</f>
        <v>13046</v>
      </c>
      <c r="O23" s="51"/>
    </row>
    <row r="24" spans="1:15" ht="13.5" thickTop="1">
      <c r="C24" s="74"/>
      <c r="J24" s="643"/>
      <c r="O24" s="51"/>
    </row>
    <row r="25" spans="1:15">
      <c r="A25" s="78" t="s">
        <v>57</v>
      </c>
      <c r="C25" s="74"/>
      <c r="D25" s="73"/>
      <c r="H25" s="351"/>
      <c r="J25" s="643"/>
      <c r="O25" s="51"/>
    </row>
    <row r="26" spans="1:15">
      <c r="A26" s="87" t="s">
        <v>56</v>
      </c>
      <c r="B26" s="88">
        <f>'UNTHSC FGD'!M50</f>
        <v>15378723</v>
      </c>
      <c r="C26" s="88"/>
      <c r="D26" s="88">
        <f>'UNTHSC FGD'!F50</f>
        <v>0</v>
      </c>
      <c r="E26" s="88">
        <f>B26-D26</f>
        <v>15378723</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'UNTHSC FGD'!M53</f>
        <v>0</v>
      </c>
      <c r="C29" s="88"/>
      <c r="D29" s="88">
        <f>'UNTHSC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ht="12" customHeight="1">
      <c r="A31" s="78" t="s">
        <v>8</v>
      </c>
      <c r="C31" s="74"/>
      <c r="E31" s="73"/>
      <c r="F31" s="73"/>
      <c r="G31" s="24"/>
      <c r="H31" s="24"/>
      <c r="I31" s="577"/>
      <c r="J31" s="645"/>
      <c r="O31" s="51"/>
    </row>
    <row r="32" spans="1:15">
      <c r="A32" s="74" t="s">
        <v>40</v>
      </c>
      <c r="B32" s="83">
        <f>'UNTHSC FGD'!M56</f>
        <v>8254807</v>
      </c>
      <c r="C32" s="83"/>
      <c r="D32" s="143">
        <f>'UNTHSC FGD'!F56</f>
        <v>0</v>
      </c>
      <c r="E32" s="143"/>
      <c r="F32" s="143">
        <f t="shared" ref="F32:F37" si="7">B32-(SUM(D32:E32))</f>
        <v>8254807</v>
      </c>
      <c r="G32" s="351"/>
      <c r="H32" s="351"/>
      <c r="I32" s="351"/>
      <c r="J32" s="644">
        <f>ROUND(F32/$C$6,0)</f>
        <v>2910</v>
      </c>
      <c r="O32" s="51"/>
    </row>
    <row r="33" spans="1:30">
      <c r="A33" s="74" t="s">
        <v>9</v>
      </c>
      <c r="B33" s="86">
        <f>'UNTHSC FGD'!M57</f>
        <v>799557</v>
      </c>
      <c r="C33" s="86"/>
      <c r="D33" s="284">
        <f>'UNTHSC FGD'!F57</f>
        <v>0</v>
      </c>
      <c r="E33" s="73"/>
      <c r="F33" s="73">
        <f t="shared" si="7"/>
        <v>799557</v>
      </c>
      <c r="G33" s="351"/>
      <c r="H33" s="351"/>
      <c r="I33" s="351"/>
      <c r="J33" s="645">
        <f t="shared" ref="J33:J37" si="8">ROUND(F33/$C$6,0)</f>
        <v>282</v>
      </c>
      <c r="O33" s="51"/>
    </row>
    <row r="34" spans="1:30" ht="13.5" thickBot="1">
      <c r="A34" s="74" t="s">
        <v>10</v>
      </c>
      <c r="B34" s="86">
        <f>'UNTHSC FGD'!M58</f>
        <v>9005129</v>
      </c>
      <c r="C34" s="86"/>
      <c r="D34" s="284">
        <f>'UNTHSC FGD'!F58</f>
        <v>0</v>
      </c>
      <c r="E34" s="73"/>
      <c r="F34" s="73">
        <f t="shared" si="7"/>
        <v>9005129</v>
      </c>
      <c r="G34" s="351"/>
      <c r="H34" s="351"/>
      <c r="I34" s="351"/>
      <c r="J34" s="645">
        <f t="shared" si="8"/>
        <v>3175</v>
      </c>
      <c r="O34" s="51"/>
    </row>
    <row r="35" spans="1:30" ht="13.5" thickBot="1">
      <c r="A35" s="74" t="s">
        <v>11</v>
      </c>
      <c r="B35" s="86">
        <f>'UNTHSC FGD'!M59</f>
        <v>59689998</v>
      </c>
      <c r="C35" s="86"/>
      <c r="D35" s="284">
        <f>'UNTHSC FGD'!F59</f>
        <v>0</v>
      </c>
      <c r="E35" s="73"/>
      <c r="F35" s="73">
        <f t="shared" si="7"/>
        <v>59689998</v>
      </c>
      <c r="G35" s="351"/>
      <c r="H35" s="351"/>
      <c r="I35" s="351"/>
      <c r="J35" s="645">
        <f t="shared" si="8"/>
        <v>21046</v>
      </c>
      <c r="K35" s="1262"/>
      <c r="L35" s="1245"/>
      <c r="M35" s="1245"/>
      <c r="N35" s="1245"/>
      <c r="O35" s="1246"/>
    </row>
    <row r="36" spans="1:30" ht="13.5" thickBot="1">
      <c r="A36" s="92" t="s">
        <v>1362</v>
      </c>
      <c r="B36" s="86">
        <f>'UNTHSC FGD'!M60</f>
        <v>625243</v>
      </c>
      <c r="C36" s="86"/>
      <c r="D36" s="284">
        <f>'UNTHSC FGD'!F60</f>
        <v>625243</v>
      </c>
      <c r="E36" s="73"/>
      <c r="F36" s="73">
        <f t="shared" si="7"/>
        <v>0</v>
      </c>
      <c r="G36" s="351"/>
      <c r="H36" s="351"/>
      <c r="I36" s="351"/>
      <c r="J36" s="645">
        <f t="shared" si="8"/>
        <v>0</v>
      </c>
      <c r="K36" s="1262" t="s">
        <v>1017</v>
      </c>
      <c r="L36" s="1245"/>
      <c r="M36" s="1245"/>
      <c r="N36" s="1245"/>
      <c r="O36" s="1246"/>
    </row>
    <row r="37" spans="1:30" ht="13.5" customHeight="1" thickBot="1">
      <c r="A37" s="93" t="s">
        <v>41</v>
      </c>
      <c r="B37" s="86">
        <f>'UNTHSC FGD'!M61</f>
        <v>564871</v>
      </c>
      <c r="C37" s="86"/>
      <c r="D37" s="284">
        <f>'UNTHSC FGD'!F61</f>
        <v>0</v>
      </c>
      <c r="E37" s="73"/>
      <c r="F37" s="73">
        <f t="shared" si="7"/>
        <v>564871</v>
      </c>
      <c r="G37" s="24"/>
      <c r="H37" s="24"/>
      <c r="I37" s="577"/>
      <c r="J37" s="645">
        <f t="shared" si="8"/>
        <v>199</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78939605</v>
      </c>
      <c r="C38" s="88"/>
      <c r="D38" s="291">
        <f>SUM(D32:D37)</f>
        <v>625243</v>
      </c>
      <c r="E38" s="291">
        <f>SUM(E32:E37)</f>
        <v>0</v>
      </c>
      <c r="F38" s="692">
        <f>SUM(F32:F37)</f>
        <v>78314362</v>
      </c>
      <c r="G38" s="1259" t="s">
        <v>8</v>
      </c>
      <c r="H38" s="1260"/>
      <c r="I38" s="693" t="s">
        <v>1118</v>
      </c>
      <c r="J38" s="653">
        <f>SUM(J32:J37)</f>
        <v>27612</v>
      </c>
      <c r="K38" s="1264"/>
      <c r="L38" s="1264"/>
      <c r="M38" s="1264"/>
      <c r="N38" s="1264" t="s">
        <v>1021</v>
      </c>
      <c r="O38" s="1264" t="s">
        <v>1022</v>
      </c>
    </row>
    <row r="39" spans="1:30" ht="13.5" thickTop="1">
      <c r="A39" s="94" t="s">
        <v>71</v>
      </c>
      <c r="B39" s="47">
        <f>B15+B20+B23+B26+B29+B38</f>
        <v>284129129</v>
      </c>
      <c r="C39" s="139"/>
      <c r="D39" s="47">
        <f>D15+D20+D23+D26+D29+D38</f>
        <v>625243</v>
      </c>
      <c r="E39" s="47">
        <f>E15+E20+E23+E26+E29+E38</f>
        <v>15378723</v>
      </c>
      <c r="F39" s="778">
        <f>F38+F23+F20+F15</f>
        <v>268125163</v>
      </c>
      <c r="G39" s="1261" t="s">
        <v>89</v>
      </c>
      <c r="H39" s="1261"/>
      <c r="I39" s="793">
        <f>ROUND($G$41/$C$6,0)</f>
        <v>88510</v>
      </c>
      <c r="J39" s="654">
        <f>J15+J20+J23+J38</f>
        <v>94536</v>
      </c>
      <c r="K39" s="1264"/>
      <c r="L39" s="1264"/>
      <c r="M39" s="1264"/>
      <c r="N39" s="1264"/>
      <c r="O39" s="1264"/>
    </row>
    <row r="40" spans="1:30" ht="13.5" thickBot="1">
      <c r="C40" s="74"/>
      <c r="D40" s="351"/>
      <c r="E40" s="351"/>
      <c r="F40" s="351" t="s">
        <v>1117</v>
      </c>
      <c r="G40" s="779">
        <f>G14*-1</f>
        <v>-17091856</v>
      </c>
      <c r="H40" s="351"/>
      <c r="I40" s="693" t="s">
        <v>1120</v>
      </c>
      <c r="J40" s="655"/>
      <c r="K40" s="1265"/>
      <c r="L40" s="1265"/>
      <c r="M40" s="1265"/>
      <c r="N40" s="1265"/>
      <c r="O40" s="1265"/>
    </row>
    <row r="41" spans="1:30" ht="14.25" thickTop="1" thickBot="1">
      <c r="A41" s="81" t="s">
        <v>75</v>
      </c>
      <c r="B41" s="81"/>
      <c r="C41" s="81"/>
      <c r="D41" s="656"/>
      <c r="E41" s="656"/>
      <c r="F41" s="694" t="s">
        <v>1119</v>
      </c>
      <c r="G41" s="695">
        <f>F39+G40</f>
        <v>251033307</v>
      </c>
      <c r="I41" s="1046">
        <f>ROUND($G$41/$I$8,0)</f>
        <v>600573</v>
      </c>
      <c r="K41" s="571"/>
      <c r="L41" s="571"/>
      <c r="M41" s="571"/>
      <c r="N41" s="571"/>
      <c r="O41" s="571"/>
    </row>
    <row r="42" spans="1:30" ht="13.5" thickTop="1">
      <c r="A42" s="95" t="s">
        <v>14</v>
      </c>
      <c r="B42" s="83">
        <f>'UNTHSC FGD'!M65</f>
        <v>70535325</v>
      </c>
      <c r="C42" s="83">
        <f t="shared" ref="C42:C52" si="9">ROUND(B42/$C$6,0)</f>
        <v>24869</v>
      </c>
      <c r="D42" s="143">
        <f>'UNTHSC FGD'!F65</f>
        <v>0</v>
      </c>
      <c r="E42" s="143"/>
      <c r="F42" s="143">
        <f t="shared" ref="F42" si="10">B42-(SUM(D42:E42))</f>
        <v>70535325</v>
      </c>
      <c r="G42" s="351"/>
      <c r="H42" s="1048" t="s">
        <v>1394</v>
      </c>
      <c r="I42" s="1047">
        <f>ROUND(F42/$C$6,0)</f>
        <v>24869</v>
      </c>
      <c r="J42" s="351" t="s">
        <v>669</v>
      </c>
      <c r="K42" s="143">
        <f>F42</f>
        <v>70535325</v>
      </c>
      <c r="L42" s="143">
        <f>K42</f>
        <v>70535325</v>
      </c>
      <c r="M42" s="143"/>
      <c r="N42" s="143"/>
      <c r="O42" s="143"/>
    </row>
    <row r="43" spans="1:30">
      <c r="A43" s="95" t="s">
        <v>15</v>
      </c>
      <c r="B43" s="86">
        <f>'UNTHSC FGD'!M66</f>
        <v>36080019</v>
      </c>
      <c r="C43" s="86">
        <f t="shared" si="9"/>
        <v>12721</v>
      </c>
      <c r="D43" s="357">
        <f>'UNTHSC FGD'!F66</f>
        <v>0</v>
      </c>
      <c r="E43" s="73"/>
      <c r="F43" s="73">
        <f t="shared" ref="F43:F44" si="11">B43-(SUM(D43:E43))</f>
        <v>36080019</v>
      </c>
      <c r="G43" s="351"/>
      <c r="H43" s="351"/>
      <c r="J43" s="351" t="s">
        <v>1093</v>
      </c>
      <c r="K43" s="357">
        <f>F43</f>
        <v>36080019</v>
      </c>
      <c r="L43" s="357">
        <f>K43</f>
        <v>36080019</v>
      </c>
      <c r="M43" s="357"/>
      <c r="N43" s="357"/>
      <c r="O43" s="357"/>
    </row>
    <row r="44" spans="1:30">
      <c r="A44" s="95" t="s">
        <v>16</v>
      </c>
      <c r="B44" s="86">
        <f>'UNTHSC FGD'!M67</f>
        <v>45182938</v>
      </c>
      <c r="C44" s="86"/>
      <c r="D44" s="357">
        <f>'UNTHSC FGD'!F67</f>
        <v>0</v>
      </c>
      <c r="E44" s="284">
        <f>B44-D44</f>
        <v>45182938</v>
      </c>
      <c r="F44" s="73">
        <f t="shared" si="11"/>
        <v>0</v>
      </c>
      <c r="G44" s="351"/>
      <c r="H44" s="351"/>
      <c r="I44" s="351"/>
      <c r="J44" s="351" t="s">
        <v>1094</v>
      </c>
      <c r="K44" s="670"/>
      <c r="L44" s="671"/>
      <c r="M44" s="671" t="s">
        <v>1095</v>
      </c>
      <c r="N44" s="671"/>
      <c r="O44" s="672"/>
    </row>
    <row r="45" spans="1:30">
      <c r="A45" s="96" t="s">
        <v>55</v>
      </c>
      <c r="B45" s="86">
        <f>'UNTHSC FGD'!M68</f>
        <v>0</v>
      </c>
      <c r="C45" s="86"/>
      <c r="D45" s="357">
        <f>'UNTHSC FGD'!F68</f>
        <v>0</v>
      </c>
      <c r="E45" s="284">
        <f>B45-D45</f>
        <v>0</v>
      </c>
      <c r="F45" s="73">
        <f t="shared" ref="F45" si="12">B45-(SUM(D45:E45))</f>
        <v>0</v>
      </c>
      <c r="G45" s="776"/>
      <c r="J45" s="51" t="s">
        <v>1096</v>
      </c>
      <c r="K45" s="1266" t="s">
        <v>1095</v>
      </c>
      <c r="L45" s="1267"/>
      <c r="M45" s="1267"/>
      <c r="N45" s="1267"/>
      <c r="O45" s="1268"/>
    </row>
    <row r="46" spans="1:30">
      <c r="A46" s="95" t="s">
        <v>17</v>
      </c>
      <c r="B46" s="86">
        <f>'UNTHSC FGD'!M69</f>
        <v>19200650</v>
      </c>
      <c r="C46" s="86">
        <f t="shared" si="9"/>
        <v>6770</v>
      </c>
      <c r="D46" s="357">
        <f>'UNTHSC FGD'!F69</f>
        <v>0</v>
      </c>
      <c r="E46" s="73"/>
      <c r="F46" s="73">
        <f t="shared" ref="F46:F53" si="13">B46-(SUM(D46:E46))</f>
        <v>19200650</v>
      </c>
      <c r="G46" s="351"/>
      <c r="H46" s="1048" t="s">
        <v>1395</v>
      </c>
      <c r="I46" s="1047">
        <f>ROUND(F46/$C$6,0)</f>
        <v>6770</v>
      </c>
      <c r="J46" s="351" t="s">
        <v>1097</v>
      </c>
      <c r="K46" s="357">
        <f t="shared" ref="K46:K50" si="14">F46</f>
        <v>19200650</v>
      </c>
      <c r="L46" s="357">
        <f>K46</f>
        <v>19200650</v>
      </c>
      <c r="M46" s="357"/>
      <c r="N46" s="357"/>
      <c r="O46" s="357"/>
    </row>
    <row r="47" spans="1:30">
      <c r="A47" s="95" t="s">
        <v>18</v>
      </c>
      <c r="B47" s="86">
        <f>'UNTHSC FGD'!M70</f>
        <v>5516917</v>
      </c>
      <c r="C47" s="86">
        <f t="shared" si="9"/>
        <v>1945</v>
      </c>
      <c r="D47" s="357">
        <f>'UNTHSC FGD'!F70</f>
        <v>0</v>
      </c>
      <c r="E47" s="73"/>
      <c r="F47" s="73">
        <f t="shared" si="13"/>
        <v>5516917</v>
      </c>
      <c r="G47" s="351"/>
      <c r="H47" s="351"/>
      <c r="I47" s="351"/>
      <c r="J47" s="351" t="s">
        <v>1098</v>
      </c>
      <c r="K47" s="357">
        <f t="shared" si="14"/>
        <v>5516917</v>
      </c>
      <c r="L47" s="357"/>
      <c r="M47" s="357">
        <f>K47</f>
        <v>5516917</v>
      </c>
      <c r="N47" s="357"/>
      <c r="O47" s="357"/>
    </row>
    <row r="48" spans="1:30">
      <c r="A48" s="95" t="s">
        <v>19</v>
      </c>
      <c r="B48" s="86">
        <f>'UNTHSC FGD'!M71</f>
        <v>17955894</v>
      </c>
      <c r="C48" s="86">
        <f t="shared" si="9"/>
        <v>6331</v>
      </c>
      <c r="D48" s="357">
        <f>'UNTHSC FGD'!F71</f>
        <v>0</v>
      </c>
      <c r="E48" s="73"/>
      <c r="F48" s="73">
        <f t="shared" si="13"/>
        <v>17955894</v>
      </c>
      <c r="G48" s="351"/>
      <c r="H48" s="1048" t="s">
        <v>1396</v>
      </c>
      <c r="I48" s="1047">
        <f>ROUND(F48/$C$6,0)</f>
        <v>6331</v>
      </c>
      <c r="J48" s="351" t="s">
        <v>675</v>
      </c>
      <c r="K48" s="357">
        <f t="shared" si="14"/>
        <v>17955894</v>
      </c>
      <c r="L48" s="357"/>
      <c r="M48" s="357"/>
      <c r="N48" s="357">
        <f>K48</f>
        <v>17955894</v>
      </c>
      <c r="O48" s="357"/>
    </row>
    <row r="49" spans="1:30">
      <c r="A49" s="95" t="s">
        <v>20</v>
      </c>
      <c r="B49" s="86">
        <f>'UNTHSC FGD'!M72</f>
        <v>13375730</v>
      </c>
      <c r="C49" s="86"/>
      <c r="D49" s="357">
        <f>'UNTHSC FGD'!F72</f>
        <v>0</v>
      </c>
      <c r="E49" s="73"/>
      <c r="F49" s="73">
        <f t="shared" si="13"/>
        <v>13375730</v>
      </c>
      <c r="G49" s="351"/>
      <c r="H49" s="351"/>
      <c r="I49" s="351"/>
      <c r="J49" s="351" t="s">
        <v>676</v>
      </c>
      <c r="K49" s="357">
        <f t="shared" si="14"/>
        <v>13375730</v>
      </c>
      <c r="L49" s="357"/>
      <c r="M49" s="357"/>
      <c r="N49" s="357">
        <f>K49</f>
        <v>13375730</v>
      </c>
      <c r="O49" s="357"/>
    </row>
    <row r="50" spans="1:30">
      <c r="A50" s="95" t="s">
        <v>21</v>
      </c>
      <c r="B50" s="86">
        <f>'UNTHSC FGD'!M73</f>
        <v>546507</v>
      </c>
      <c r="C50" s="86">
        <f t="shared" si="9"/>
        <v>193</v>
      </c>
      <c r="D50" s="357">
        <f>'UNTHSC FGD'!F73</f>
        <v>0</v>
      </c>
      <c r="E50" s="73"/>
      <c r="F50" s="73">
        <f t="shared" si="13"/>
        <v>546507</v>
      </c>
      <c r="G50" s="351"/>
      <c r="H50" s="351"/>
      <c r="I50" s="351"/>
      <c r="J50" s="351" t="s">
        <v>1099</v>
      </c>
      <c r="K50" s="357">
        <f t="shared" si="14"/>
        <v>546507</v>
      </c>
      <c r="L50" s="357"/>
      <c r="M50" s="357">
        <f>K50</f>
        <v>546507</v>
      </c>
      <c r="N50" s="357"/>
      <c r="O50" s="357"/>
    </row>
    <row r="51" spans="1:30">
      <c r="A51" s="95" t="s">
        <v>1363</v>
      </c>
      <c r="B51" s="86">
        <f>'UNTHSC FGD'!M74</f>
        <v>484952</v>
      </c>
      <c r="C51" s="86"/>
      <c r="D51" s="657">
        <f>B51</f>
        <v>484952</v>
      </c>
      <c r="E51" s="73"/>
      <c r="F51" s="73">
        <f t="shared" si="13"/>
        <v>0</v>
      </c>
      <c r="G51" s="351"/>
      <c r="H51" s="351"/>
      <c r="I51" s="351"/>
      <c r="J51" s="351" t="s">
        <v>660</v>
      </c>
      <c r="K51" s="670"/>
      <c r="L51" s="671"/>
      <c r="M51" s="671" t="s">
        <v>1095</v>
      </c>
      <c r="N51" s="671"/>
      <c r="O51" s="672"/>
    </row>
    <row r="52" spans="1:30">
      <c r="A52" s="95" t="s">
        <v>65</v>
      </c>
      <c r="B52" s="86">
        <f>'UNTHSC FGD'!M75</f>
        <v>5853999</v>
      </c>
      <c r="C52" s="86">
        <f t="shared" si="9"/>
        <v>2064</v>
      </c>
      <c r="D52" s="357">
        <f>'UNTHSC FGD'!F75</f>
        <v>413540</v>
      </c>
      <c r="E52" s="73"/>
      <c r="F52" s="73">
        <f t="shared" si="13"/>
        <v>5440459</v>
      </c>
      <c r="G52" s="351"/>
      <c r="J52" s="351" t="s">
        <v>1100</v>
      </c>
      <c r="K52" s="357">
        <f t="shared" ref="K52:K53" si="15">F52</f>
        <v>5440459</v>
      </c>
      <c r="L52" s="357"/>
      <c r="M52" s="357"/>
      <c r="N52" s="357"/>
      <c r="O52" s="357">
        <f>K52</f>
        <v>5440459</v>
      </c>
    </row>
    <row r="53" spans="1:30" ht="13.5" thickBot="1">
      <c r="A53" s="74" t="s">
        <v>47</v>
      </c>
      <c r="B53" s="86">
        <f>'UNTHSC FGD'!M76</f>
        <v>102396</v>
      </c>
      <c r="C53" s="86"/>
      <c r="D53" s="357">
        <f>'UNTHSC FGD'!F76</f>
        <v>0</v>
      </c>
      <c r="E53" s="73"/>
      <c r="F53" s="73">
        <f t="shared" si="13"/>
        <v>102396</v>
      </c>
      <c r="G53" s="24"/>
      <c r="H53" s="1048" t="s">
        <v>1397</v>
      </c>
      <c r="I53" s="1047">
        <f>ROUND(SUM(F43+F47+F49+F50+F52+F53)/$C$6,0)</f>
        <v>21529</v>
      </c>
      <c r="J53" s="572" t="s">
        <v>1022</v>
      </c>
      <c r="K53" s="357">
        <f t="shared" si="15"/>
        <v>102396</v>
      </c>
      <c r="L53" s="573"/>
      <c r="M53" s="573"/>
      <c r="N53" s="573"/>
      <c r="O53" s="357">
        <f>K53</f>
        <v>102396</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214835327</v>
      </c>
      <c r="C54" s="48">
        <f>SUM(C42:C53)</f>
        <v>54893</v>
      </c>
      <c r="D54" s="48">
        <f>SUM(D42:D53)</f>
        <v>898492</v>
      </c>
      <c r="E54" s="698">
        <f>SUM(E43:E53)</f>
        <v>45182938</v>
      </c>
      <c r="F54" s="649">
        <f>SUM(F42:F53)</f>
        <v>168753897</v>
      </c>
      <c r="G54" s="1279" t="s">
        <v>1121</v>
      </c>
      <c r="H54" s="1280"/>
      <c r="I54" s="697" t="s">
        <v>1398</v>
      </c>
      <c r="J54" s="572" t="s">
        <v>1101</v>
      </c>
      <c r="K54" s="574">
        <f>SUM(K42:K53)</f>
        <v>168753897</v>
      </c>
      <c r="L54" s="574">
        <f t="shared" ref="L54:O54" si="16">SUM(L42:L53)</f>
        <v>125815994</v>
      </c>
      <c r="M54" s="574">
        <f t="shared" si="16"/>
        <v>6063424</v>
      </c>
      <c r="N54" s="574">
        <f t="shared" si="16"/>
        <v>31331624</v>
      </c>
      <c r="O54" s="574">
        <f t="shared" si="16"/>
        <v>5542855</v>
      </c>
    </row>
    <row r="55" spans="1:30" ht="14.25" customHeight="1" thickTop="1" thickBot="1">
      <c r="A55" s="92"/>
      <c r="C55" s="74"/>
      <c r="F55" s="575"/>
      <c r="G55" s="1281"/>
      <c r="H55" s="1282"/>
      <c r="I55" s="699">
        <f>ROUND(F54/C6,0)</f>
        <v>59500</v>
      </c>
      <c r="J55" s="1258" t="s">
        <v>1102</v>
      </c>
      <c r="K55" s="573"/>
      <c r="L55" s="573"/>
      <c r="M55" s="573"/>
      <c r="N55" s="573"/>
      <c r="O55" s="573"/>
    </row>
    <row r="56" spans="1:30" ht="16.5" customHeight="1" thickBot="1">
      <c r="A56" s="78" t="s">
        <v>23</v>
      </c>
      <c r="C56" s="74"/>
      <c r="F56" s="576"/>
      <c r="G56" s="1283"/>
      <c r="H56" s="1284"/>
      <c r="I56" s="693" t="s">
        <v>1399</v>
      </c>
      <c r="J56" s="1258"/>
      <c r="K56" s="700">
        <f>ROUND(K54/$C$6,2)</f>
        <v>59499.58</v>
      </c>
      <c r="L56" s="700">
        <f t="shared" ref="L56:O56" si="17">ROUND(L54/$C$6,2)</f>
        <v>44360.45</v>
      </c>
      <c r="M56" s="700">
        <f t="shared" si="17"/>
        <v>2137.85</v>
      </c>
      <c r="N56" s="700">
        <f t="shared" si="17"/>
        <v>11046.97</v>
      </c>
      <c r="O56" s="700">
        <f t="shared" si="17"/>
        <v>1954.31</v>
      </c>
      <c r="P56" s="89"/>
      <c r="Q56" s="89"/>
      <c r="R56" s="89"/>
      <c r="S56" s="89"/>
      <c r="T56" s="89"/>
      <c r="U56" s="89"/>
      <c r="V56" s="89"/>
      <c r="W56" s="89"/>
      <c r="X56" s="89"/>
      <c r="Y56" s="89"/>
      <c r="Z56" s="89"/>
      <c r="AA56" s="89"/>
      <c r="AB56" s="89"/>
      <c r="AC56" s="89"/>
      <c r="AD56" s="89"/>
    </row>
    <row r="57" spans="1:30" ht="13.5" thickTop="1">
      <c r="A57" s="74" t="s">
        <v>66</v>
      </c>
      <c r="B57" s="86">
        <f>'UNTHSC FGD'!M80</f>
        <v>-69392043</v>
      </c>
      <c r="C57" s="86"/>
      <c r="D57" s="143">
        <f>'UNTHSC FGD'!F80</f>
        <v>0</v>
      </c>
      <c r="E57" s="143"/>
      <c r="F57" s="1045">
        <f t="shared" ref="F57:F60" si="18">B57-(SUM(D57:E57))</f>
        <v>-69392043</v>
      </c>
      <c r="G57" s="780"/>
      <c r="I57" s="696">
        <f>ROUND($F$54/$I$8,0)</f>
        <v>403727</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'UNTHSC FGD'!M81</f>
        <v>117168982</v>
      </c>
      <c r="C58" s="86"/>
      <c r="D58" s="285">
        <f>'UNTHSC FGD'!F81</f>
        <v>0</v>
      </c>
      <c r="E58" s="82"/>
      <c r="F58" s="73">
        <f t="shared" si="18"/>
        <v>117168982</v>
      </c>
      <c r="G58" s="351"/>
      <c r="J58" s="351"/>
      <c r="K58" s="578"/>
      <c r="L58" s="578"/>
      <c r="M58" s="578"/>
      <c r="N58" s="578"/>
      <c r="O58" s="578"/>
    </row>
    <row r="59" spans="1:30">
      <c r="A59" s="98" t="s">
        <v>52</v>
      </c>
      <c r="B59" s="86">
        <f>'UNTHSC FGD'!M82</f>
        <v>0</v>
      </c>
      <c r="C59" s="86"/>
      <c r="D59" s="285">
        <f>'UNTHSC FGD'!F82</f>
        <v>0</v>
      </c>
      <c r="E59" s="82"/>
      <c r="F59" s="73">
        <f t="shared" si="18"/>
        <v>0</v>
      </c>
      <c r="G59" s="24"/>
      <c r="J59" s="658"/>
      <c r="K59" s="658"/>
      <c r="L59" s="658"/>
      <c r="M59" s="658"/>
      <c r="N59" s="658"/>
      <c r="O59" s="658"/>
    </row>
    <row r="60" spans="1:30" ht="12" customHeight="1">
      <c r="A60" s="74" t="s">
        <v>43</v>
      </c>
      <c r="B60" s="86">
        <f>'UNTHSC FGD'!M83</f>
        <v>-3110650</v>
      </c>
      <c r="C60" s="86"/>
      <c r="D60" s="285">
        <f>'UNTHSC FGD'!F83</f>
        <v>0</v>
      </c>
      <c r="E60" s="82"/>
      <c r="F60" s="73">
        <f t="shared" si="18"/>
        <v>-3110650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44666289</v>
      </c>
      <c r="C61" s="88"/>
      <c r="D61" s="88">
        <f>SUM(D57:D60)</f>
        <v>0</v>
      </c>
      <c r="E61" s="88">
        <f>SUM(E57:E60)</f>
        <v>0</v>
      </c>
      <c r="F61" s="99">
        <f>SUM(F57:F60)</f>
        <v>44666289</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'UNTHSC FGD'!M87</f>
        <v>366464</v>
      </c>
      <c r="C64" s="86"/>
      <c r="D64" s="143">
        <f>'UNTHSC FGD'!F87</f>
        <v>0</v>
      </c>
      <c r="E64" s="143"/>
      <c r="F64" s="143">
        <f t="shared" ref="F64:F65" si="19">B64-(SUM(D64:E64))</f>
        <v>366464</v>
      </c>
      <c r="O64" s="51"/>
    </row>
    <row r="65" spans="1:30">
      <c r="A65" s="74" t="s">
        <v>45</v>
      </c>
      <c r="B65" s="86">
        <f>'UNTHSC FGD'!M88</f>
        <v>4000000</v>
      </c>
      <c r="C65" s="86"/>
      <c r="D65" s="285">
        <f>'UNTHSC FGD'!F88</f>
        <v>0</v>
      </c>
      <c r="E65" s="82"/>
      <c r="F65" s="73">
        <f t="shared" si="19"/>
        <v>4000000</v>
      </c>
      <c r="O65" s="51"/>
      <c r="P65" s="89"/>
      <c r="Q65" s="89"/>
      <c r="R65" s="89"/>
      <c r="S65" s="89"/>
      <c r="T65" s="89"/>
      <c r="U65" s="89"/>
      <c r="V65" s="89"/>
      <c r="W65" s="89"/>
      <c r="X65" s="89"/>
      <c r="Y65" s="89"/>
      <c r="Z65" s="89"/>
      <c r="AA65" s="89"/>
      <c r="AB65" s="89"/>
      <c r="AC65" s="89"/>
      <c r="AD65" s="89"/>
    </row>
    <row r="66" spans="1:30" s="92" customFormat="1">
      <c r="A66" s="87" t="s">
        <v>3</v>
      </c>
      <c r="B66" s="88">
        <f>SUM(B64:B65)</f>
        <v>4366464</v>
      </c>
      <c r="C66" s="88"/>
      <c r="D66" s="88">
        <f>SUM(D64:D65)</f>
        <v>0</v>
      </c>
      <c r="E66" s="88">
        <f>SUM(E64:E65)</f>
        <v>0</v>
      </c>
      <c r="F66" s="88">
        <f>SUM(F64:F65)</f>
        <v>4366464</v>
      </c>
      <c r="G66" s="51"/>
      <c r="H66" s="51"/>
      <c r="I66" s="51"/>
      <c r="J66" s="51"/>
      <c r="K66" s="51"/>
      <c r="L66" s="51"/>
      <c r="M66" s="51"/>
      <c r="N66" s="51"/>
      <c r="O66" s="51"/>
    </row>
    <row r="67" spans="1:30">
      <c r="C67" s="74"/>
      <c r="O67" s="51"/>
    </row>
    <row r="68" spans="1:30" ht="13.5" thickBot="1">
      <c r="A68" s="100" t="s">
        <v>616</v>
      </c>
      <c r="B68" s="49">
        <f>B39-B54+B61+B66</f>
        <v>118326555</v>
      </c>
      <c r="C68" s="49"/>
      <c r="D68" s="49">
        <f>D39-D54+D61+D66</f>
        <v>-273249</v>
      </c>
      <c r="E68" s="49">
        <f>E39-E54+E61+E66</f>
        <v>-29804215</v>
      </c>
      <c r="F68" s="49">
        <f>F39-F54+F61+F66</f>
        <v>148404019</v>
      </c>
      <c r="O68" s="51"/>
    </row>
    <row r="69" spans="1:30" ht="13.5" thickTop="1">
      <c r="C69" s="45"/>
    </row>
    <row r="70" spans="1:30">
      <c r="A70" s="51" t="s">
        <v>1109</v>
      </c>
      <c r="C70" s="45"/>
      <c r="D70" s="143"/>
    </row>
    <row r="71" spans="1:30">
      <c r="A71" s="74" t="s">
        <v>51</v>
      </c>
      <c r="C71" s="45"/>
    </row>
    <row r="72" spans="1:30">
      <c r="B72" s="659">
        <f>'UNTHSC FGD'!$M$91</f>
        <v>118326555</v>
      </c>
      <c r="C72" s="74"/>
      <c r="D72" s="659">
        <f>'UNTHSC FGD'!F91</f>
        <v>-273249</v>
      </c>
      <c r="E72" s="659">
        <f>'UNTHSC FGD'!M50</f>
        <v>15378723</v>
      </c>
      <c r="F72" s="74"/>
    </row>
    <row r="73" spans="1:30">
      <c r="B73" s="659"/>
      <c r="C73" s="74"/>
      <c r="D73" s="659">
        <f>'UNTHSC FGD'!F74</f>
        <v>484952</v>
      </c>
      <c r="E73" s="659">
        <f>'UNTHSC FGD'!M53</f>
        <v>0</v>
      </c>
      <c r="F73" s="659"/>
    </row>
    <row r="74" spans="1:30">
      <c r="B74" s="676"/>
      <c r="C74" s="92"/>
      <c r="D74" s="676">
        <f>-'UNTHSC FGD'!M74</f>
        <v>-484952</v>
      </c>
      <c r="E74" s="659">
        <f>-'UNTHSC FGD'!M68</f>
        <v>0</v>
      </c>
      <c r="F74" s="659"/>
    </row>
    <row r="75" spans="1:30">
      <c r="B75" s="676"/>
      <c r="C75" s="74"/>
      <c r="D75" s="676"/>
      <c r="E75" s="676">
        <f>-'UNTHSC FGD'!M67</f>
        <v>-45182938</v>
      </c>
      <c r="F75" s="659"/>
      <c r="G75" s="351"/>
      <c r="H75" s="351"/>
    </row>
    <row r="76" spans="1:30" ht="12.75" customHeight="1">
      <c r="B76" s="675"/>
      <c r="C76" s="74"/>
      <c r="D76" s="675"/>
      <c r="E76" s="675">
        <f>-D26</f>
        <v>0</v>
      </c>
      <c r="F76" s="659"/>
      <c r="G76" s="351"/>
      <c r="H76" s="351"/>
    </row>
    <row r="77" spans="1:30" ht="12.75" customHeight="1">
      <c r="B77" s="659">
        <f>SUM(B72:B76)</f>
        <v>118326555</v>
      </c>
      <c r="C77" s="74"/>
      <c r="D77" s="659">
        <f>SUM(D72:D76)</f>
        <v>-273249</v>
      </c>
      <c r="E77" s="659">
        <f>SUM(E72:E76)</f>
        <v>-29804215</v>
      </c>
      <c r="F77" s="659">
        <f>B77-D77-E77</f>
        <v>148404019</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118326555</v>
      </c>
      <c r="C80" s="74"/>
      <c r="D80" s="659">
        <f>SUM(D77:D79)</f>
        <v>-273249</v>
      </c>
      <c r="E80" s="659">
        <f>SUM(E77:E79)</f>
        <v>-29804215</v>
      </c>
      <c r="F80" s="659">
        <f>SUM(F77:F79)</f>
        <v>148404019</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topLeftCell="B2" zoomScale="75" zoomScaleNormal="75" workbookViewId="0">
      <pane xSplit="1" ySplit="7" topLeftCell="D9" activePane="bottomRight" state="frozen"/>
      <selection activeCell="C36" sqref="C36"/>
      <selection pane="topRight" activeCell="C36" sqref="C36"/>
      <selection pane="bottomLeft" activeCell="C36" sqref="C36"/>
      <selection pane="bottomRight" activeCell="C36" sqref="C36"/>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140625" style="166" customWidth="1"/>
    <col min="14" max="14" width="5.425781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t="12.75" hidden="1" customHeight="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'UNTHSC Chts'!$A$1</f>
        <v>University of North Texas Health Science Center at Fort Worth</v>
      </c>
      <c r="C2" s="1273"/>
      <c r="D2" s="1273"/>
      <c r="E2" s="1273"/>
      <c r="F2" s="1273"/>
      <c r="G2" s="1273"/>
      <c r="H2" s="174"/>
      <c r="I2" s="149" t="str">
        <f>IF($B$2&lt;&gt;Input!$H$13,"Name Mismatch","")</f>
        <v/>
      </c>
      <c r="K2" s="174"/>
      <c r="L2" s="174"/>
      <c r="M2" s="175"/>
      <c r="O2" s="737" t="s">
        <v>1123</v>
      </c>
      <c r="P2" s="294"/>
    </row>
    <row r="3" spans="1:28" ht="20.25">
      <c r="A3" s="173">
        <v>2</v>
      </c>
      <c r="B3" s="1273" t="str">
        <f>'Smmy Chts'!$A$2</f>
        <v>For the Year Ended August 31, 2018</v>
      </c>
      <c r="C3" s="1273"/>
      <c r="D3" s="1273"/>
      <c r="E3" s="1273"/>
      <c r="F3" s="1273"/>
      <c r="G3" s="637"/>
      <c r="H3" s="174"/>
      <c r="K3" s="174"/>
      <c r="L3" s="174"/>
      <c r="M3" s="175"/>
      <c r="O3" s="73"/>
    </row>
    <row r="4" spans="1:28" ht="20.25">
      <c r="A4" s="173">
        <v>3</v>
      </c>
      <c r="B4" s="1273" t="str">
        <f>'Smmy Chts'!$A$3</f>
        <v>Source: FY 2018 Annual Financial Report</v>
      </c>
      <c r="C4" s="1273"/>
      <c r="D4" s="1273"/>
      <c r="E4" s="1273"/>
      <c r="F4" s="1273"/>
      <c r="G4" s="637"/>
      <c r="H4" s="174"/>
      <c r="K4" s="174"/>
      <c r="L4" s="174"/>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Input!$M$13</f>
        <v>102748866</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102748866</v>
      </c>
      <c r="O10" s="184"/>
      <c r="P10" s="1308" t="s">
        <v>595</v>
      </c>
      <c r="Q10" s="50"/>
      <c r="R10" s="50"/>
      <c r="S10" s="50"/>
      <c r="T10" s="183"/>
      <c r="U10" s="183"/>
      <c r="V10" s="50"/>
      <c r="W10" s="50"/>
      <c r="X10" s="50"/>
      <c r="Y10" s="50"/>
      <c r="Z10" s="50"/>
      <c r="AA10" s="50"/>
      <c r="AB10" s="50"/>
    </row>
    <row r="11" spans="1:28" s="149" customFormat="1">
      <c r="A11" s="147">
        <v>10</v>
      </c>
      <c r="B11" s="149" t="s">
        <v>2</v>
      </c>
      <c r="D11" s="355">
        <f>Input!$V$13</f>
        <v>444000</v>
      </c>
      <c r="E11" s="355">
        <f>Input!$W$13</f>
        <v>825000</v>
      </c>
      <c r="F11" s="355">
        <f>Input!$X$13</f>
        <v>0</v>
      </c>
      <c r="G11" s="355">
        <f>Input!$Y$13</f>
        <v>1889527</v>
      </c>
      <c r="H11" s="355">
        <f>Input!$Z$13</f>
        <v>0</v>
      </c>
      <c r="I11" s="355">
        <f>Input!$AA$13</f>
        <v>0</v>
      </c>
      <c r="J11" s="355">
        <f>Input!$AB$13</f>
        <v>0</v>
      </c>
      <c r="K11" s="355">
        <f>Input!$AC$13</f>
        <v>0</v>
      </c>
      <c r="L11" s="355">
        <f>Input!$AD$13</f>
        <v>0</v>
      </c>
      <c r="M11" s="357">
        <f t="shared" si="0"/>
        <v>3158527</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Input!$AN$13</f>
        <v>17091856</v>
      </c>
      <c r="E13" s="355">
        <f>Input!$AO$13</f>
        <v>0</v>
      </c>
      <c r="F13" s="355">
        <f>Input!$AP$13</f>
        <v>0</v>
      </c>
      <c r="G13" s="355">
        <f>Input!$AQ$13</f>
        <v>0</v>
      </c>
      <c r="H13" s="355">
        <f>Input!$AR$13</f>
        <v>0</v>
      </c>
      <c r="I13" s="355">
        <f>Input!$AS$13</f>
        <v>0</v>
      </c>
      <c r="J13" s="355">
        <f>Input!$AT$13</f>
        <v>0</v>
      </c>
      <c r="K13" s="355">
        <f>Input!$AU$13</f>
        <v>0</v>
      </c>
      <c r="L13" s="355">
        <f>Input!$AV$13</f>
        <v>0</v>
      </c>
      <c r="M13" s="357">
        <f t="shared" si="0"/>
        <v>17091856</v>
      </c>
      <c r="O13" s="455" t="str">
        <f>IF(P13&lt;&gt;M13,"Out of Balance","Balanced")</f>
        <v>Balanced</v>
      </c>
      <c r="P13" s="457">
        <f>IFERROR(VLOOKUP($B$2,AMTLU,6,FALSE),0)</f>
        <v>17091856</v>
      </c>
      <c r="Q13" s="50"/>
      <c r="R13" s="50"/>
      <c r="S13" s="50"/>
      <c r="T13" s="183"/>
      <c r="U13" s="183"/>
      <c r="V13" s="50"/>
      <c r="W13" s="50"/>
      <c r="X13" s="50"/>
      <c r="Y13" s="50"/>
      <c r="Z13" s="50"/>
      <c r="AA13" s="50"/>
      <c r="AB13" s="50"/>
    </row>
    <row r="14" spans="1:28" s="149" customFormat="1" ht="15">
      <c r="A14" s="147">
        <v>13</v>
      </c>
      <c r="B14" s="149" t="s">
        <v>46</v>
      </c>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120284722</v>
      </c>
      <c r="E15" s="356">
        <f t="shared" ref="E15:L15" si="1">SUM(E10:E14)</f>
        <v>825000</v>
      </c>
      <c r="F15" s="356">
        <f t="shared" si="1"/>
        <v>0</v>
      </c>
      <c r="G15" s="356">
        <f t="shared" si="1"/>
        <v>1889527</v>
      </c>
      <c r="H15" s="356">
        <f t="shared" si="1"/>
        <v>0</v>
      </c>
      <c r="I15" s="356">
        <f t="shared" si="1"/>
        <v>0</v>
      </c>
      <c r="J15" s="356">
        <f t="shared" si="1"/>
        <v>0</v>
      </c>
      <c r="K15" s="356">
        <f t="shared" si="1"/>
        <v>0</v>
      </c>
      <c r="L15" s="356">
        <f t="shared" si="1"/>
        <v>0</v>
      </c>
      <c r="M15" s="356">
        <f t="shared" si="0"/>
        <v>122999249</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12888066</v>
      </c>
      <c r="E18" s="356">
        <f t="shared" si="2"/>
        <v>12713782</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25601848</v>
      </c>
      <c r="V18" s="342"/>
      <c r="X18" s="326"/>
    </row>
    <row r="19" spans="1:26" s="50" customFormat="1" ht="12.75" customHeight="1" thickTop="1" thickBot="1">
      <c r="A19" s="293"/>
      <c r="B19" s="51" t="s">
        <v>638</v>
      </c>
      <c r="C19" s="51"/>
      <c r="D19" s="355">
        <f>Input!$BF$13</f>
        <v>0</v>
      </c>
      <c r="E19" s="355">
        <f>Input!$BG$13</f>
        <v>0</v>
      </c>
      <c r="F19" s="355">
        <f>Input!$BH$13</f>
        <v>0</v>
      </c>
      <c r="G19" s="355">
        <f>Input!$BI$13</f>
        <v>0</v>
      </c>
      <c r="H19" s="355">
        <f>Input!$BJ$13</f>
        <v>0</v>
      </c>
      <c r="I19" s="355">
        <f>Input!BK6</f>
        <v>0</v>
      </c>
      <c r="J19" s="355">
        <f>Input!$BL$13</f>
        <v>0</v>
      </c>
      <c r="K19" s="355">
        <f>Input!BM6</f>
        <v>0</v>
      </c>
      <c r="L19" s="355">
        <f>Input!BN6</f>
        <v>0</v>
      </c>
      <c r="M19" s="357">
        <f t="shared" si="3"/>
        <v>0</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Input!$BO$13</f>
        <v>-1330007</v>
      </c>
      <c r="E20" s="355">
        <f>Input!$BP$13</f>
        <v>-408479</v>
      </c>
      <c r="F20" s="355">
        <f>Input!$BQ$13</f>
        <v>0</v>
      </c>
      <c r="G20" s="355">
        <f>Input!$BR$13</f>
        <v>0</v>
      </c>
      <c r="H20" s="355">
        <f>Input!$BS$13</f>
        <v>0</v>
      </c>
      <c r="I20" s="355">
        <f>Input!$BT$13</f>
        <v>0</v>
      </c>
      <c r="J20" s="355">
        <f>Input!BU6</f>
        <v>0</v>
      </c>
      <c r="K20" s="355">
        <f>Input!BV6</f>
        <v>0</v>
      </c>
      <c r="L20" s="355">
        <f>Input!$BW$13</f>
        <v>0</v>
      </c>
      <c r="M20" s="357">
        <f t="shared" si="3"/>
        <v>-1738486</v>
      </c>
      <c r="O20" s="414" t="s">
        <v>215</v>
      </c>
      <c r="P20" s="415"/>
      <c r="Q20" s="416"/>
      <c r="R20" s="416"/>
      <c r="S20" s="537"/>
      <c r="U20" s="538" t="s">
        <v>997</v>
      </c>
      <c r="V20" s="296"/>
      <c r="W20" s="296"/>
      <c r="Y20" s="420"/>
    </row>
    <row r="21" spans="1:26" s="50" customFormat="1">
      <c r="A21" s="293"/>
      <c r="B21" s="51" t="s">
        <v>640</v>
      </c>
      <c r="C21" s="51"/>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430"/>
      <c r="R21" s="347"/>
      <c r="S21" s="539"/>
      <c r="U21" s="621" t="s">
        <v>998</v>
      </c>
      <c r="V21" s="296"/>
      <c r="W21" s="296"/>
      <c r="X21" s="622">
        <f>M44</f>
        <v>29810882</v>
      </c>
      <c r="Y21" s="420"/>
      <c r="Z21" s="326"/>
    </row>
    <row r="22" spans="1:26" s="50" customFormat="1">
      <c r="A22" s="293"/>
      <c r="B22" s="51" t="s">
        <v>641</v>
      </c>
      <c r="C22" s="51"/>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99"/>
      <c r="O22" s="430" t="s">
        <v>999</v>
      </c>
      <c r="P22" s="305"/>
      <c r="Q22" s="419">
        <f>M23</f>
        <v>23863362</v>
      </c>
      <c r="S22" s="540"/>
      <c r="U22" s="621" t="s">
        <v>1000</v>
      </c>
      <c r="V22" s="296"/>
      <c r="W22" s="296"/>
      <c r="X22" s="623">
        <f>R30*-1</f>
        <v>2736435</v>
      </c>
      <c r="Y22" s="420"/>
    </row>
    <row r="23" spans="1:26" s="50" customFormat="1" ht="12.75" customHeight="1">
      <c r="A23" s="293"/>
      <c r="B23" s="536" t="s">
        <v>642</v>
      </c>
      <c r="C23" s="179"/>
      <c r="D23" s="541">
        <f>Input!$CP$13</f>
        <v>11558059</v>
      </c>
      <c r="E23" s="541">
        <f>Input!$CQ$13</f>
        <v>12305303</v>
      </c>
      <c r="F23" s="541">
        <f>Input!$CR$13</f>
        <v>0</v>
      </c>
      <c r="G23" s="541">
        <f>Input!$CS$13</f>
        <v>0</v>
      </c>
      <c r="H23" s="541">
        <f>Input!$CT$13</f>
        <v>0</v>
      </c>
      <c r="I23" s="541">
        <f>Input!$CU$13</f>
        <v>0</v>
      </c>
      <c r="J23" s="541">
        <f>Input!$CV$13</f>
        <v>0</v>
      </c>
      <c r="K23" s="541">
        <f>Input!$CW$13</f>
        <v>0</v>
      </c>
      <c r="L23" s="541">
        <f>Input!$CX$13</f>
        <v>0</v>
      </c>
      <c r="M23" s="542">
        <f t="shared" si="3"/>
        <v>23863362</v>
      </c>
      <c r="O23" s="430"/>
      <c r="P23" s="305"/>
      <c r="Q23" s="419"/>
      <c r="S23" s="540"/>
      <c r="U23" s="538" t="s">
        <v>1185</v>
      </c>
      <c r="V23" s="296"/>
      <c r="W23" s="296"/>
      <c r="X23" s="305"/>
      <c r="Y23" s="420">
        <f>SUM(X21:X22)</f>
        <v>32547317</v>
      </c>
      <c r="Z23" s="326"/>
    </row>
    <row r="24" spans="1:26" s="50" customFormat="1" ht="12.75" customHeight="1">
      <c r="A24" s="293"/>
      <c r="B24" s="51" t="s">
        <v>643</v>
      </c>
      <c r="C24" s="180"/>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43">
        <f t="shared" si="3"/>
        <v>0</v>
      </c>
      <c r="O24" s="418" t="s">
        <v>1001</v>
      </c>
      <c r="P24" s="305"/>
      <c r="Q24" s="342"/>
      <c r="R24" s="342">
        <f>SUM(M24:M28)</f>
        <v>-2313156</v>
      </c>
      <c r="S24" s="540"/>
      <c r="U24" s="538"/>
      <c r="V24" s="296"/>
      <c r="W24" s="296"/>
      <c r="Y24" s="420"/>
      <c r="Z24" s="326"/>
    </row>
    <row r="25" spans="1:26" s="50" customFormat="1" ht="12.75" customHeight="1">
      <c r="A25" s="293"/>
      <c r="B25" s="51" t="s">
        <v>644</v>
      </c>
      <c r="C25" s="180"/>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43">
        <f t="shared" si="3"/>
        <v>0</v>
      </c>
      <c r="O25" s="430"/>
      <c r="P25" s="305"/>
      <c r="Q25" s="342"/>
      <c r="R25" s="342"/>
      <c r="S25" s="540"/>
      <c r="U25" s="544" t="s">
        <v>1045</v>
      </c>
      <c r="V25" s="545"/>
      <c r="W25" s="545"/>
      <c r="X25" s="624">
        <f>(M26+M39)*-1</f>
        <v>0</v>
      </c>
      <c r="Y25" s="420"/>
      <c r="Z25" s="326"/>
    </row>
    <row r="26" spans="1:26" s="50" customFormat="1" ht="12.75" customHeight="1">
      <c r="A26" s="293"/>
      <c r="B26" s="51" t="s">
        <v>645</v>
      </c>
      <c r="C26" s="180"/>
      <c r="D26" s="355">
        <f>Input!$DQ$13</f>
        <v>0</v>
      </c>
      <c r="E26" s="355">
        <f>Input!$DR$13</f>
        <v>0</v>
      </c>
      <c r="F26" s="355">
        <f>Input!$DS$13</f>
        <v>0</v>
      </c>
      <c r="G26" s="355">
        <f>Input!$DT$13</f>
        <v>0</v>
      </c>
      <c r="H26" s="355">
        <f>Input!$DU$13</f>
        <v>0</v>
      </c>
      <c r="I26" s="355">
        <f>Input!$DV$13</f>
        <v>0</v>
      </c>
      <c r="J26" s="355">
        <f>Input!$DW$13</f>
        <v>0</v>
      </c>
      <c r="K26" s="355">
        <f>Input!$DX$13</f>
        <v>0</v>
      </c>
      <c r="L26" s="355">
        <f>Input!$DY$13</f>
        <v>0</v>
      </c>
      <c r="M26" s="543">
        <f t="shared" si="3"/>
        <v>0</v>
      </c>
      <c r="O26" s="430" t="s">
        <v>1002</v>
      </c>
      <c r="P26" s="305"/>
      <c r="Q26" s="422">
        <f>M36</f>
        <v>8683955</v>
      </c>
      <c r="R26" s="423"/>
      <c r="S26" s="546"/>
      <c r="U26" s="538" t="s">
        <v>1046</v>
      </c>
      <c r="V26" s="296"/>
      <c r="W26" s="296"/>
      <c r="X26" s="547">
        <f>(M21+M34)*-1</f>
        <v>0</v>
      </c>
      <c r="Y26" s="420"/>
      <c r="Z26" s="326"/>
    </row>
    <row r="27" spans="1:26" s="50" customFormat="1">
      <c r="A27" s="293"/>
      <c r="B27" s="51" t="s">
        <v>646</v>
      </c>
      <c r="C27" s="180"/>
      <c r="D27" s="355">
        <f>Input!$DZ$13</f>
        <v>0</v>
      </c>
      <c r="E27" s="355">
        <f>Input!$EA$13</f>
        <v>0</v>
      </c>
      <c r="F27" s="355">
        <f>Input!$EB$13</f>
        <v>0</v>
      </c>
      <c r="G27" s="355">
        <f>Input!$EC$13</f>
        <v>0</v>
      </c>
      <c r="H27" s="355">
        <f>Input!$ED$13</f>
        <v>0</v>
      </c>
      <c r="I27" s="355">
        <f>Input!$EE$13</f>
        <v>0</v>
      </c>
      <c r="J27" s="355">
        <f>Input!$EF$13</f>
        <v>0</v>
      </c>
      <c r="K27" s="355">
        <f>Input!$EG$13</f>
        <v>0</v>
      </c>
      <c r="L27" s="355">
        <f>Input!$EH$13</f>
        <v>0</v>
      </c>
      <c r="M27" s="543">
        <f t="shared" si="3"/>
        <v>0</v>
      </c>
      <c r="O27" s="430"/>
      <c r="P27" s="305"/>
      <c r="Q27" s="422"/>
      <c r="R27" s="423"/>
      <c r="S27" s="546"/>
      <c r="U27" s="621" t="s">
        <v>1047</v>
      </c>
      <c r="V27" s="221"/>
      <c r="W27" s="221"/>
      <c r="X27" s="625">
        <f>SUM(X25:X26)</f>
        <v>0</v>
      </c>
      <c r="Y27" s="626"/>
    </row>
    <row r="28" spans="1:26" s="50" customFormat="1">
      <c r="A28" s="293"/>
      <c r="B28" s="51" t="s">
        <v>1361</v>
      </c>
      <c r="C28" s="180"/>
      <c r="D28" s="355">
        <f>Input!$EI$13</f>
        <v>-1043318</v>
      </c>
      <c r="E28" s="355">
        <f>Input!$EJ$13</f>
        <v>-1269838</v>
      </c>
      <c r="F28" s="355">
        <f>Input!$EK$13</f>
        <v>0</v>
      </c>
      <c r="G28" s="355">
        <f>Input!$EL$13</f>
        <v>0</v>
      </c>
      <c r="H28" s="355">
        <f>Input!$EM$13</f>
        <v>0</v>
      </c>
      <c r="I28" s="355">
        <f>Input!$EN$13</f>
        <v>0</v>
      </c>
      <c r="J28" s="355">
        <f>Input!$EO$13</f>
        <v>0</v>
      </c>
      <c r="K28" s="355">
        <f>Input!$EP$13</f>
        <v>0</v>
      </c>
      <c r="L28" s="355">
        <f>Input!$EQ$13</f>
        <v>0</v>
      </c>
      <c r="M28" s="543">
        <f t="shared" si="3"/>
        <v>-2313156</v>
      </c>
      <c r="O28" s="418" t="s">
        <v>1003</v>
      </c>
      <c r="Q28" s="425"/>
      <c r="R28" s="342">
        <f>SUM(M37:M41)</f>
        <v>-423279</v>
      </c>
      <c r="S28" s="540"/>
      <c r="U28" s="538" t="s">
        <v>1048</v>
      </c>
      <c r="V28" s="296"/>
      <c r="W28" s="296"/>
      <c r="X28" s="420">
        <f>(M27+M40)*-1</f>
        <v>0</v>
      </c>
      <c r="Y28" s="626"/>
      <c r="Z28" s="326"/>
    </row>
    <row r="29" spans="1:26" s="50" customFormat="1" ht="12" customHeight="1">
      <c r="A29" s="293"/>
      <c r="B29" s="551" t="s">
        <v>37</v>
      </c>
      <c r="C29" s="179"/>
      <c r="D29" s="356">
        <f t="shared" ref="D29:L29" si="4">SUM(D23:D28)</f>
        <v>10514741</v>
      </c>
      <c r="E29" s="356">
        <f t="shared" si="4"/>
        <v>11035465</v>
      </c>
      <c r="F29" s="356">
        <f t="shared" si="4"/>
        <v>0</v>
      </c>
      <c r="G29" s="356">
        <f t="shared" si="4"/>
        <v>0</v>
      </c>
      <c r="H29" s="356">
        <f t="shared" si="4"/>
        <v>0</v>
      </c>
      <c r="I29" s="356">
        <f t="shared" si="4"/>
        <v>0</v>
      </c>
      <c r="J29" s="356">
        <f t="shared" si="4"/>
        <v>0</v>
      </c>
      <c r="K29" s="356">
        <f t="shared" si="4"/>
        <v>0</v>
      </c>
      <c r="L29" s="356">
        <f t="shared" si="4"/>
        <v>0</v>
      </c>
      <c r="M29" s="356">
        <f t="shared" si="3"/>
        <v>21550206</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32547317</v>
      </c>
      <c r="R30" s="429">
        <f>R28+R24</f>
        <v>-2736435</v>
      </c>
      <c r="S30" s="553"/>
      <c r="U30" s="621" t="s">
        <v>1050</v>
      </c>
      <c r="V30" s="221"/>
      <c r="W30" s="221"/>
      <c r="X30" s="625">
        <f>SUM(X28:X29)</f>
        <v>0</v>
      </c>
      <c r="Y30" s="626"/>
    </row>
    <row r="31" spans="1:26" s="50" customFormat="1" ht="12.75" customHeight="1">
      <c r="A31" s="293"/>
      <c r="B31" s="536" t="s">
        <v>1005</v>
      </c>
      <c r="C31" s="536"/>
      <c r="D31" s="356">
        <f t="shared" ref="D31:L31" si="5">D36-SUM(D32:D35)</f>
        <v>24382</v>
      </c>
      <c r="E31" s="356">
        <f t="shared" si="5"/>
        <v>8659573</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8683955</v>
      </c>
      <c r="O31" s="430" t="s">
        <v>217</v>
      </c>
      <c r="P31" s="305"/>
      <c r="Q31" s="349"/>
      <c r="R31" s="305"/>
      <c r="S31" s="540"/>
      <c r="U31" s="548" t="s">
        <v>1051</v>
      </c>
      <c r="V31" s="549"/>
      <c r="W31" s="549"/>
      <c r="X31" s="550">
        <f>X27+X30</f>
        <v>0</v>
      </c>
      <c r="Y31" s="420"/>
      <c r="Z31" s="326"/>
    </row>
    <row r="32" spans="1:26" s="50" customFormat="1" ht="12.75" customHeight="1">
      <c r="A32" s="293"/>
      <c r="B32" s="51" t="s">
        <v>638</v>
      </c>
      <c r="C32" s="51"/>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43">
        <f t="shared" si="6"/>
        <v>0</v>
      </c>
      <c r="O32" s="431" t="s">
        <v>1245</v>
      </c>
      <c r="P32" s="432"/>
      <c r="Q32" s="433">
        <f>Input!$TI$13</f>
        <v>32547317</v>
      </c>
      <c r="R32" s="432"/>
      <c r="S32" s="554"/>
      <c r="U32" s="538"/>
      <c r="V32" s="296"/>
      <c r="W32" s="296"/>
      <c r="Y32" s="420"/>
      <c r="Z32" s="326"/>
    </row>
    <row r="33" spans="1:28" s="50" customFormat="1">
      <c r="A33" s="293"/>
      <c r="B33" s="51" t="s">
        <v>639</v>
      </c>
      <c r="C33" s="51"/>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43">
        <f t="shared" si="6"/>
        <v>0</v>
      </c>
      <c r="O33" s="431"/>
      <c r="P33" s="432"/>
      <c r="Q33" s="342"/>
      <c r="R33" s="432"/>
      <c r="S33" s="554"/>
      <c r="U33" s="538" t="s">
        <v>1004</v>
      </c>
      <c r="V33" s="296"/>
      <c r="W33" s="296"/>
      <c r="X33" s="347">
        <f>(M19+M32)*-1</f>
        <v>0</v>
      </c>
      <c r="Y33" s="420"/>
    </row>
    <row r="34" spans="1:28" s="50" customFormat="1">
      <c r="A34" s="293"/>
      <c r="B34" s="51" t="s">
        <v>640</v>
      </c>
      <c r="C34" s="51"/>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43">
        <f t="shared" si="6"/>
        <v>0</v>
      </c>
      <c r="O34" s="434" t="s">
        <v>1246</v>
      </c>
      <c r="P34" s="435"/>
      <c r="Q34" s="50" t="s">
        <v>218</v>
      </c>
      <c r="R34" s="433">
        <f>Input!$TJ$13</f>
        <v>-2736435</v>
      </c>
      <c r="S34" s="555"/>
      <c r="U34" s="538" t="s">
        <v>1052</v>
      </c>
      <c r="V34" s="296"/>
      <c r="W34" s="296"/>
      <c r="X34" s="426">
        <f>(M24+M37)*-1</f>
        <v>0</v>
      </c>
      <c r="Y34" s="420"/>
    </row>
    <row r="35" spans="1:28" s="50" customFormat="1" ht="13.5" thickBot="1">
      <c r="A35" s="293"/>
      <c r="B35" s="51" t="s">
        <v>641</v>
      </c>
      <c r="C35" s="51"/>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43">
        <f t="shared" si="6"/>
        <v>0</v>
      </c>
      <c r="O35" s="436" t="s">
        <v>219</v>
      </c>
      <c r="P35" s="437"/>
      <c r="Q35" s="438">
        <f>Q30-Q32</f>
        <v>0</v>
      </c>
      <c r="R35" s="439">
        <f>R30-R34</f>
        <v>0</v>
      </c>
      <c r="S35" s="556"/>
      <c r="U35" s="621" t="s">
        <v>1053</v>
      </c>
      <c r="V35" s="221"/>
      <c r="W35" s="221"/>
      <c r="X35" s="627">
        <f>SUM(X33:X34)</f>
        <v>0</v>
      </c>
      <c r="Y35" s="626"/>
    </row>
    <row r="36" spans="1:28" s="50" customFormat="1" ht="13.5" thickTop="1">
      <c r="A36" s="293"/>
      <c r="B36" s="536" t="s">
        <v>648</v>
      </c>
      <c r="C36" s="179"/>
      <c r="D36" s="541">
        <f>Input!$GB$13</f>
        <v>24382</v>
      </c>
      <c r="E36" s="541">
        <f>Input!$GC$13</f>
        <v>8659573</v>
      </c>
      <c r="F36" s="541">
        <f>Input!$GD$13</f>
        <v>0</v>
      </c>
      <c r="G36" s="541">
        <f>Input!$GE$13</f>
        <v>0</v>
      </c>
      <c r="H36" s="541">
        <f>Input!$GF$13</f>
        <v>0</v>
      </c>
      <c r="I36" s="541">
        <f>Input!$GG$13</f>
        <v>0</v>
      </c>
      <c r="J36" s="541">
        <f>Input!$GH$13</f>
        <v>0</v>
      </c>
      <c r="K36" s="541">
        <f>Input!$GI$13</f>
        <v>0</v>
      </c>
      <c r="L36" s="541">
        <f>Input!$GJ$13</f>
        <v>0</v>
      </c>
      <c r="M36" s="542">
        <f t="shared" si="6"/>
        <v>8683955</v>
      </c>
      <c r="O36" s="51"/>
      <c r="Q36" s="485" t="str">
        <f>IF(Q30&lt;&gt;Q32,"Out of Balance","Balanced")</f>
        <v>Balanced</v>
      </c>
      <c r="R36" s="485" t="str">
        <f>IF(R30&lt;&gt;R34,"Out of Balance","Balanced")</f>
        <v>Balanced</v>
      </c>
      <c r="U36" s="538" t="s">
        <v>1006</v>
      </c>
      <c r="V36" s="296"/>
      <c r="W36" s="296"/>
      <c r="X36" s="347">
        <f>(M20+M33)*-1</f>
        <v>1738486</v>
      </c>
      <c r="Y36" s="420"/>
    </row>
    <row r="37" spans="1:28" s="50" customFormat="1">
      <c r="A37" s="293"/>
      <c r="B37" s="51" t="s">
        <v>643</v>
      </c>
      <c r="C37" s="180"/>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43">
        <f t="shared" si="6"/>
        <v>0</v>
      </c>
      <c r="O37" s="51"/>
      <c r="U37" s="538" t="s">
        <v>1054</v>
      </c>
      <c r="V37" s="296"/>
      <c r="W37" s="296"/>
      <c r="X37" s="426">
        <f>(M25+M38)*-1</f>
        <v>0</v>
      </c>
      <c r="Y37" s="626"/>
    </row>
    <row r="38" spans="1:28" s="50" customFormat="1">
      <c r="A38" s="293"/>
      <c r="B38" s="51" t="s">
        <v>644</v>
      </c>
      <c r="C38" s="180"/>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43">
        <f t="shared" si="6"/>
        <v>0</v>
      </c>
      <c r="O38" s="51"/>
      <c r="U38" s="621" t="s">
        <v>1055</v>
      </c>
      <c r="V38" s="221"/>
      <c r="W38" s="221"/>
      <c r="X38" s="627">
        <f>SUM(X36:X37)</f>
        <v>1738486</v>
      </c>
      <c r="Y38" s="420"/>
    </row>
    <row r="39" spans="1:28" s="50" customFormat="1">
      <c r="A39" s="293"/>
      <c r="B39" s="51" t="s">
        <v>645</v>
      </c>
      <c r="C39" s="180"/>
      <c r="D39" s="355">
        <f>Input!$HC$13</f>
        <v>0</v>
      </c>
      <c r="E39" s="355">
        <f>Input!$HD$13</f>
        <v>0</v>
      </c>
      <c r="F39" s="355">
        <f>Input!$HE$13</f>
        <v>0</v>
      </c>
      <c r="G39" s="355">
        <f>Input!$HF$13</f>
        <v>0</v>
      </c>
      <c r="H39" s="355">
        <f>Input!$HG$13</f>
        <v>0</v>
      </c>
      <c r="I39" s="355">
        <f>Input!$HH$13</f>
        <v>0</v>
      </c>
      <c r="J39" s="355">
        <f>Input!$HI$13</f>
        <v>0</v>
      </c>
      <c r="K39" s="355">
        <f>Input!$HJ$13</f>
        <v>0</v>
      </c>
      <c r="L39" s="355">
        <f>Input!$HK$13</f>
        <v>0</v>
      </c>
      <c r="M39" s="543">
        <f t="shared" si="6"/>
        <v>0</v>
      </c>
      <c r="O39" s="51"/>
      <c r="U39" s="538" t="s">
        <v>1007</v>
      </c>
      <c r="V39" s="296"/>
      <c r="W39" s="296"/>
      <c r="X39" s="347"/>
      <c r="Y39" s="420">
        <f>X38+X35</f>
        <v>1738486</v>
      </c>
    </row>
    <row r="40" spans="1:28" s="50" customFormat="1">
      <c r="A40" s="293"/>
      <c r="B40" s="51" t="s">
        <v>646</v>
      </c>
      <c r="C40" s="180"/>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43">
        <f t="shared" si="6"/>
        <v>0</v>
      </c>
      <c r="O40" s="51"/>
      <c r="U40" s="538"/>
      <c r="V40" s="51"/>
      <c r="W40" s="51"/>
      <c r="X40" s="51"/>
      <c r="Y40" s="626"/>
    </row>
    <row r="41" spans="1:28" s="50" customFormat="1">
      <c r="A41" s="293"/>
      <c r="B41" s="51" t="s">
        <v>1361</v>
      </c>
      <c r="C41" s="180"/>
      <c r="D41" s="355">
        <f>Input!$HU$13</f>
        <v>0</v>
      </c>
      <c r="E41" s="355">
        <f>Input!$HV$13</f>
        <v>-423279</v>
      </c>
      <c r="F41" s="355">
        <f>Input!$HW$13</f>
        <v>0</v>
      </c>
      <c r="G41" s="355">
        <f>Input!$HX$13</f>
        <v>0</v>
      </c>
      <c r="H41" s="355">
        <f>Input!$HY$13</f>
        <v>0</v>
      </c>
      <c r="I41" s="355">
        <f>Input!$HZ$13</f>
        <v>0</v>
      </c>
      <c r="J41" s="355">
        <f>Input!$IA$13</f>
        <v>0</v>
      </c>
      <c r="K41" s="355">
        <f>Input!$IB$13</f>
        <v>0</v>
      </c>
      <c r="L41" s="355">
        <f>Input!$IC$13</f>
        <v>0</v>
      </c>
      <c r="M41" s="543">
        <f t="shared" si="6"/>
        <v>-423279</v>
      </c>
      <c r="O41"/>
      <c r="P41"/>
      <c r="Q41"/>
      <c r="R41"/>
      <c r="S41"/>
      <c r="U41" s="538" t="s">
        <v>1046</v>
      </c>
      <c r="V41" s="296"/>
      <c r="W41" s="296"/>
      <c r="X41" s="326">
        <f>(M21+M34)*-1</f>
        <v>0</v>
      </c>
      <c r="Y41" s="420"/>
    </row>
    <row r="42" spans="1:28" s="50" customFormat="1">
      <c r="A42" s="293"/>
      <c r="B42" s="551" t="s">
        <v>38</v>
      </c>
      <c r="C42" s="179"/>
      <c r="D42" s="356">
        <f t="shared" ref="D42:L42" si="7">SUM(D36:D41)</f>
        <v>24382</v>
      </c>
      <c r="E42" s="356">
        <f t="shared" si="7"/>
        <v>8236294</v>
      </c>
      <c r="F42" s="356">
        <f t="shared" si="7"/>
        <v>0</v>
      </c>
      <c r="G42" s="356">
        <f t="shared" si="7"/>
        <v>0</v>
      </c>
      <c r="H42" s="356">
        <f t="shared" si="7"/>
        <v>0</v>
      </c>
      <c r="I42" s="356">
        <f t="shared" si="7"/>
        <v>0</v>
      </c>
      <c r="J42" s="356">
        <f t="shared" si="7"/>
        <v>0</v>
      </c>
      <c r="K42" s="356">
        <f t="shared" si="7"/>
        <v>0</v>
      </c>
      <c r="L42" s="356">
        <f t="shared" si="7"/>
        <v>0</v>
      </c>
      <c r="M42" s="356">
        <f t="shared" si="6"/>
        <v>8260676</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10539123</v>
      </c>
      <c r="E44" s="356">
        <f t="shared" si="8"/>
        <v>19271759</v>
      </c>
      <c r="F44" s="356">
        <f t="shared" si="8"/>
        <v>0</v>
      </c>
      <c r="G44" s="356">
        <f t="shared" si="8"/>
        <v>0</v>
      </c>
      <c r="H44" s="356">
        <f t="shared" si="8"/>
        <v>0</v>
      </c>
      <c r="I44" s="356">
        <f t="shared" si="8"/>
        <v>0</v>
      </c>
      <c r="J44" s="356">
        <f t="shared" si="8"/>
        <v>0</v>
      </c>
      <c r="K44" s="356">
        <f t="shared" si="8"/>
        <v>0</v>
      </c>
      <c r="L44" s="356">
        <f t="shared" si="8"/>
        <v>0</v>
      </c>
      <c r="M44" s="356">
        <f>D44+E44+F44+G44+H44+I44+J44+K44+L44</f>
        <v>29810882</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Input!$ID$13</f>
        <v>0</v>
      </c>
      <c r="E47" s="358">
        <f>Input!$IE$13</f>
        <v>0</v>
      </c>
      <c r="F47" s="358">
        <f>Input!$IF$13</f>
        <v>0</v>
      </c>
      <c r="G47" s="358">
        <f>Input!$IG$13</f>
        <v>37000670</v>
      </c>
      <c r="H47" s="358">
        <f>Input!$IH$13</f>
        <v>0</v>
      </c>
      <c r="I47" s="358">
        <f>Input!$II$13</f>
        <v>0</v>
      </c>
      <c r="J47" s="358">
        <f>Input!$IJ$13</f>
        <v>0</v>
      </c>
      <c r="K47" s="358">
        <f>Input!$IK$13</f>
        <v>0</v>
      </c>
      <c r="L47" s="358">
        <f>Input!$IL$13</f>
        <v>0</v>
      </c>
      <c r="M47" s="356">
        <f>D47+E47+F47+G47+H47+I47+J47+K47+L47</f>
        <v>37000670</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34285803</v>
      </c>
      <c r="Z49" s="50"/>
      <c r="AA49" s="50"/>
      <c r="AB49" s="50"/>
    </row>
    <row r="50" spans="1:28" s="149" customFormat="1">
      <c r="A50" s="147">
        <v>33</v>
      </c>
      <c r="B50" s="158" t="s">
        <v>56</v>
      </c>
      <c r="C50" s="158"/>
      <c r="D50" s="358">
        <f>Input!$IM$13</f>
        <v>0</v>
      </c>
      <c r="E50" s="358">
        <f>Input!$IN$13</f>
        <v>15378723</v>
      </c>
      <c r="F50" s="358">
        <f>Input!$IO$13</f>
        <v>0</v>
      </c>
      <c r="G50" s="358">
        <f>Input!$IP$13</f>
        <v>0</v>
      </c>
      <c r="H50" s="358">
        <f>Input!$IQ$13</f>
        <v>0</v>
      </c>
      <c r="I50" s="358">
        <f>Input!$IR$13</f>
        <v>0</v>
      </c>
      <c r="J50" s="358">
        <f>Input!$IS$13</f>
        <v>0</v>
      </c>
      <c r="K50" s="358">
        <f>Input!$IT$13</f>
        <v>0</v>
      </c>
      <c r="L50" s="358">
        <f>Input!$IU$13</f>
        <v>0</v>
      </c>
      <c r="M50" s="356">
        <f>D50+E50+F50+G50+H50+I50+J50+K50+L50</f>
        <v>15378723</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Input!$IV$13</f>
        <v>0</v>
      </c>
      <c r="E53" s="358">
        <f>Input!$IW$13</f>
        <v>0</v>
      </c>
      <c r="F53" s="358">
        <f>Input!$IX$13</f>
        <v>0</v>
      </c>
      <c r="G53" s="358">
        <f>Input!$IY$13</f>
        <v>0</v>
      </c>
      <c r="H53" s="358">
        <f>Input!$IZ$13</f>
        <v>0</v>
      </c>
      <c r="I53" s="358">
        <f>Input!$JA$13</f>
        <v>0</v>
      </c>
      <c r="J53" s="358">
        <f>Input!$JB$13</f>
        <v>0</v>
      </c>
      <c r="K53" s="358">
        <f>Input!$JC$13</f>
        <v>0</v>
      </c>
      <c r="L53" s="358">
        <f>Input!$JD$13</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Input!$JE$13</f>
        <v>69444</v>
      </c>
      <c r="E56" s="355">
        <f>Input!$JF$13</f>
        <v>4290849</v>
      </c>
      <c r="F56" s="355">
        <f>Input!$JG$13</f>
        <v>0</v>
      </c>
      <c r="G56" s="355">
        <f>Input!$JH$13</f>
        <v>36969</v>
      </c>
      <c r="H56" s="355">
        <f>Input!$JI$13</f>
        <v>23052</v>
      </c>
      <c r="I56" s="355">
        <f>Input!$JJ$13</f>
        <v>3624867</v>
      </c>
      <c r="J56" s="355">
        <f>Input!$JK$13</f>
        <v>0</v>
      </c>
      <c r="K56" s="355">
        <f>Input!$JL$13</f>
        <v>209626</v>
      </c>
      <c r="L56" s="355">
        <f>Input!$JM$13</f>
        <v>0</v>
      </c>
      <c r="M56" s="357">
        <f t="shared" ref="M56:M62" si="9">D56+E56+F56+G56+H56+I56+J56+K56+L56</f>
        <v>8254807</v>
      </c>
      <c r="O56" s="51"/>
      <c r="P56" s="50"/>
      <c r="Q56" s="50"/>
      <c r="R56" s="50"/>
      <c r="S56" s="50"/>
      <c r="T56" s="50"/>
      <c r="U56" s="50"/>
      <c r="V56" s="50"/>
      <c r="W56" s="50"/>
      <c r="X56" s="306"/>
      <c r="Y56" s="50"/>
      <c r="Z56" s="50"/>
      <c r="AA56" s="50"/>
      <c r="AB56" s="50"/>
    </row>
    <row r="57" spans="1:28" s="149" customFormat="1">
      <c r="A57" s="147">
        <v>40</v>
      </c>
      <c r="B57" s="149" t="s">
        <v>9</v>
      </c>
      <c r="D57" s="355">
        <f>Input!$JN$13</f>
        <v>0</v>
      </c>
      <c r="E57" s="355">
        <f>Input!$JO$13</f>
        <v>595823</v>
      </c>
      <c r="F57" s="355">
        <f>Input!$JP$13</f>
        <v>0</v>
      </c>
      <c r="G57" s="355">
        <f>Input!$JQ$13</f>
        <v>203734</v>
      </c>
      <c r="H57" s="355">
        <f>Input!$JR$13</f>
        <v>0</v>
      </c>
      <c r="I57" s="355">
        <f>Input!$JS$13</f>
        <v>0</v>
      </c>
      <c r="J57" s="355">
        <f>Input!$JT$13</f>
        <v>0</v>
      </c>
      <c r="K57" s="355">
        <f>Input!$JU$13</f>
        <v>0</v>
      </c>
      <c r="L57" s="355">
        <f>Input!$JV$13</f>
        <v>0</v>
      </c>
      <c r="M57" s="357">
        <f t="shared" si="9"/>
        <v>799557</v>
      </c>
      <c r="O57" s="50"/>
      <c r="P57" s="307"/>
      <c r="Q57" s="50"/>
      <c r="R57" s="50"/>
      <c r="S57" s="50"/>
      <c r="T57" s="50"/>
      <c r="U57" s="50"/>
      <c r="V57" s="50"/>
      <c r="W57" s="50"/>
      <c r="X57" s="50"/>
      <c r="Y57" s="50"/>
      <c r="Z57" s="50"/>
      <c r="AA57" s="50"/>
      <c r="AB57" s="50"/>
    </row>
    <row r="58" spans="1:28" s="149" customFormat="1">
      <c r="A58" s="147">
        <v>41</v>
      </c>
      <c r="B58" s="149" t="s">
        <v>10</v>
      </c>
      <c r="D58" s="355">
        <f>Input!$JW$13</f>
        <v>0</v>
      </c>
      <c r="E58" s="355">
        <f>Input!$JX$13</f>
        <v>3068301</v>
      </c>
      <c r="F58" s="355">
        <f>Input!$JY$13</f>
        <v>0</v>
      </c>
      <c r="G58" s="355">
        <f>Input!$JZ$13</f>
        <v>5917973</v>
      </c>
      <c r="H58" s="355">
        <f>Input!$KA$13</f>
        <v>18855</v>
      </c>
      <c r="I58" s="355">
        <f>Input!$KB$13</f>
        <v>0</v>
      </c>
      <c r="J58" s="355">
        <f>Input!$KC$13</f>
        <v>0</v>
      </c>
      <c r="K58" s="355">
        <f>Input!$KD$13</f>
        <v>0</v>
      </c>
      <c r="L58" s="355">
        <f>Input!$KE$13</f>
        <v>0</v>
      </c>
      <c r="M58" s="357">
        <f t="shared" si="9"/>
        <v>9005129</v>
      </c>
      <c r="O58" s="302"/>
      <c r="P58" s="50"/>
      <c r="Q58" s="50"/>
      <c r="R58" s="50"/>
      <c r="S58" s="50"/>
      <c r="T58" s="50"/>
      <c r="U58" s="50"/>
      <c r="V58" s="50"/>
      <c r="W58" s="50"/>
      <c r="X58" s="50"/>
      <c r="Y58" s="50"/>
      <c r="Z58" s="50"/>
      <c r="AA58" s="50"/>
      <c r="AB58" s="50"/>
    </row>
    <row r="59" spans="1:28" s="149" customFormat="1" ht="13.5" thickBot="1">
      <c r="A59" s="147">
        <v>42</v>
      </c>
      <c r="B59" s="149" t="s">
        <v>54</v>
      </c>
      <c r="D59" s="355">
        <f>Input!$KF$13</f>
        <v>0</v>
      </c>
      <c r="E59" s="355">
        <f>Input!$KG$13</f>
        <v>59842566</v>
      </c>
      <c r="F59" s="355">
        <f>Input!$KH$13</f>
        <v>0</v>
      </c>
      <c r="G59" s="355">
        <f>Input!$KI$13</f>
        <v>-153249</v>
      </c>
      <c r="H59" s="355">
        <f>Input!$KJ$13</f>
        <v>681</v>
      </c>
      <c r="I59" s="355">
        <f>Input!$KK$13</f>
        <v>0</v>
      </c>
      <c r="J59" s="355">
        <f>Input!$KL$13</f>
        <v>0</v>
      </c>
      <c r="K59" s="355">
        <f>Input!$KM$13</f>
        <v>0</v>
      </c>
      <c r="L59" s="355">
        <f>Input!$KN$13</f>
        <v>0</v>
      </c>
      <c r="M59" s="357">
        <f t="shared" si="9"/>
        <v>59689998</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Input!$KO$13</f>
        <v>0</v>
      </c>
      <c r="E60" s="355">
        <f>Input!$KP$13</f>
        <v>0</v>
      </c>
      <c r="F60" s="355">
        <f>Input!$KQ$13</f>
        <v>625243</v>
      </c>
      <c r="G60" s="355">
        <f>Input!$KR$13</f>
        <v>0</v>
      </c>
      <c r="H60" s="355">
        <f>Input!$KS$13</f>
        <v>0</v>
      </c>
      <c r="I60" s="355">
        <f>Input!$KT$13</f>
        <v>0</v>
      </c>
      <c r="J60" s="355">
        <f>Input!$KU$13</f>
        <v>0</v>
      </c>
      <c r="K60" s="355">
        <f>Input!$KV$13</f>
        <v>0</v>
      </c>
      <c r="L60" s="355">
        <f>Input!$KW$13</f>
        <v>0</v>
      </c>
      <c r="M60" s="357">
        <f t="shared" si="9"/>
        <v>625243</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Input!$KX$13</f>
        <v>0</v>
      </c>
      <c r="E61" s="355">
        <f>Input!$KY$13</f>
        <v>829943</v>
      </c>
      <c r="F61" s="355">
        <f>Input!$KZ$13</f>
        <v>0</v>
      </c>
      <c r="G61" s="355">
        <f>Input!$LA$13</f>
        <v>0</v>
      </c>
      <c r="H61" s="355">
        <f>Input!$LB$13</f>
        <v>32898</v>
      </c>
      <c r="I61" s="355">
        <f>Input!$LC$13</f>
        <v>0</v>
      </c>
      <c r="J61" s="355">
        <f>Input!$LD$13</f>
        <v>0</v>
      </c>
      <c r="K61" s="355">
        <f>Input!$LE$13</f>
        <v>0</v>
      </c>
      <c r="L61" s="355">
        <f>Input!$LF$13</f>
        <v>-297970</v>
      </c>
      <c r="M61" s="357">
        <f t="shared" si="9"/>
        <v>564871</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69444</v>
      </c>
      <c r="E62" s="356">
        <f t="shared" si="10"/>
        <v>68627482</v>
      </c>
      <c r="F62" s="356">
        <f t="shared" si="10"/>
        <v>625243</v>
      </c>
      <c r="G62" s="356">
        <f t="shared" si="10"/>
        <v>6005427</v>
      </c>
      <c r="H62" s="356">
        <f t="shared" si="10"/>
        <v>75486</v>
      </c>
      <c r="I62" s="356">
        <f t="shared" si="10"/>
        <v>3624867</v>
      </c>
      <c r="J62" s="356">
        <f t="shared" si="10"/>
        <v>0</v>
      </c>
      <c r="K62" s="356">
        <f t="shared" si="10"/>
        <v>209626</v>
      </c>
      <c r="L62" s="356">
        <f t="shared" si="10"/>
        <v>-297970</v>
      </c>
      <c r="M62" s="356">
        <f t="shared" si="9"/>
        <v>78939605</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130893289</v>
      </c>
      <c r="E63" s="356">
        <f t="shared" ref="E63:M63" si="11">E15+E44+E47+E50+E53+E62</f>
        <v>104102964</v>
      </c>
      <c r="F63" s="356">
        <f t="shared" si="11"/>
        <v>625243</v>
      </c>
      <c r="G63" s="356">
        <f t="shared" si="11"/>
        <v>44895624</v>
      </c>
      <c r="H63" s="356">
        <f t="shared" si="11"/>
        <v>75486</v>
      </c>
      <c r="I63" s="356">
        <f t="shared" si="11"/>
        <v>3624867</v>
      </c>
      <c r="J63" s="356">
        <f t="shared" si="11"/>
        <v>0</v>
      </c>
      <c r="K63" s="356">
        <f t="shared" si="11"/>
        <v>209626</v>
      </c>
      <c r="L63" s="356">
        <f t="shared" si="11"/>
        <v>-297970</v>
      </c>
      <c r="M63" s="356">
        <f t="shared" si="11"/>
        <v>284129129</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Input!$LG$13</f>
        <v>41990643</v>
      </c>
      <c r="E65" s="355">
        <f>Input!$LH$13</f>
        <v>25660938</v>
      </c>
      <c r="F65" s="355">
        <f>Input!$LI$13</f>
        <v>0</v>
      </c>
      <c r="G65" s="355">
        <f>Input!$LJ$13</f>
        <v>2876571</v>
      </c>
      <c r="H65" s="355">
        <f>Input!$LK$13</f>
        <v>7173</v>
      </c>
      <c r="I65" s="355">
        <f>Input!$LL$13</f>
        <v>0</v>
      </c>
      <c r="J65" s="355">
        <f>Input!$LM$13</f>
        <v>0</v>
      </c>
      <c r="K65" s="355">
        <f>Input!$LN$13</f>
        <v>0</v>
      </c>
      <c r="L65" s="355">
        <f>Input!$LO$13</f>
        <v>0</v>
      </c>
      <c r="M65" s="357">
        <f t="shared" ref="M65:M77" si="12">D65+E65+F65+G65+H65+I65+J65+K65+L65</f>
        <v>70535325</v>
      </c>
      <c r="O65" s="310">
        <f>D65+E65+G65</f>
        <v>70528152</v>
      </c>
      <c r="P65" s="311">
        <f>Input!$TK$13</f>
        <v>354267</v>
      </c>
      <c r="Q65" s="311">
        <f>Input!$TU$13</f>
        <v>0</v>
      </c>
      <c r="R65" s="311">
        <f>Input!$UD$13</f>
        <v>0</v>
      </c>
      <c r="S65" s="312">
        <f>O65+P65-Q65-R65</f>
        <v>70882419</v>
      </c>
      <c r="T65" s="313"/>
      <c r="U65" s="494">
        <f>D65+E65+F65+G65+J65</f>
        <v>70528152</v>
      </c>
      <c r="V65" s="313"/>
      <c r="W65" s="314" t="s">
        <v>14</v>
      </c>
      <c r="X65" s="487">
        <f>Input!$UO$13</f>
        <v>70535325</v>
      </c>
      <c r="Y65" s="315">
        <f t="shared" ref="Y65:Y74" si="13">X65-M65</f>
        <v>0</v>
      </c>
      <c r="Z65" s="313"/>
      <c r="AA65" s="313"/>
      <c r="AB65" s="313"/>
    </row>
    <row r="66" spans="1:28" s="149" customFormat="1" ht="14.25" thickTop="1" thickBot="1">
      <c r="A66" s="147">
        <v>49</v>
      </c>
      <c r="B66" s="161" t="s">
        <v>15</v>
      </c>
      <c r="C66" s="161"/>
      <c r="D66" s="355">
        <f>Input!$LP$13</f>
        <v>6336810</v>
      </c>
      <c r="E66" s="355">
        <f>Input!$LQ$13</f>
        <v>5063320</v>
      </c>
      <c r="F66" s="355">
        <f>Input!$LR$13</f>
        <v>0</v>
      </c>
      <c r="G66" s="355">
        <f>Input!$LS$13</f>
        <v>24679889</v>
      </c>
      <c r="H66" s="355">
        <f>Input!$LT$13</f>
        <v>0</v>
      </c>
      <c r="I66" s="355">
        <f>Input!$LU$13</f>
        <v>0</v>
      </c>
      <c r="J66" s="355">
        <f>Input!$LV$13</f>
        <v>0</v>
      </c>
      <c r="K66" s="355">
        <f>Input!$LW$13</f>
        <v>0</v>
      </c>
      <c r="L66" s="355">
        <f>Input!$LX$13</f>
        <v>0</v>
      </c>
      <c r="M66" s="357">
        <f t="shared" si="12"/>
        <v>36080019</v>
      </c>
      <c r="O66" s="316">
        <f t="shared" ref="O66:O72" si="14">D66+E66+G66</f>
        <v>36080019</v>
      </c>
      <c r="P66" s="317">
        <f>Input!$TL$13</f>
        <v>2122890</v>
      </c>
      <c r="Q66" s="317">
        <f>Input!$TV$13</f>
        <v>1002142</v>
      </c>
      <c r="R66" s="317">
        <f>Input!$UE$13</f>
        <v>87745</v>
      </c>
      <c r="S66" s="318">
        <f>O66+P66-Q66-R66</f>
        <v>37113022</v>
      </c>
      <c r="T66" s="313"/>
      <c r="U66" s="495">
        <f t="shared" ref="U66:U76" si="15">D66+E66+F66+G66+J66</f>
        <v>36080019</v>
      </c>
      <c r="V66" s="313"/>
      <c r="W66" s="314" t="s">
        <v>15</v>
      </c>
      <c r="X66" s="363">
        <f>Input!$UP$13</f>
        <v>36080019</v>
      </c>
      <c r="Y66" s="319">
        <f t="shared" si="13"/>
        <v>0</v>
      </c>
      <c r="Z66" s="320"/>
      <c r="AA66" s="320"/>
      <c r="AB66" s="320"/>
    </row>
    <row r="67" spans="1:28" s="149" customFormat="1" ht="13.5" thickTop="1">
      <c r="A67" s="147">
        <v>50</v>
      </c>
      <c r="B67" s="161" t="s">
        <v>16</v>
      </c>
      <c r="C67" s="161"/>
      <c r="D67" s="355">
        <f>Input!$LY$13</f>
        <v>7438751</v>
      </c>
      <c r="E67" s="355">
        <f>Input!$LZ$13</f>
        <v>28182448</v>
      </c>
      <c r="F67" s="355">
        <f>Input!$MA$13</f>
        <v>0</v>
      </c>
      <c r="G67" s="355">
        <f>Input!$MB$13</f>
        <v>9561739</v>
      </c>
      <c r="H67" s="355">
        <f>Input!$MC$13</f>
        <v>0</v>
      </c>
      <c r="I67" s="355">
        <f>Input!$MD$13</f>
        <v>0</v>
      </c>
      <c r="J67" s="355">
        <f>Input!$ME$13</f>
        <v>0</v>
      </c>
      <c r="K67" s="355">
        <f>Input!$MF$13</f>
        <v>0</v>
      </c>
      <c r="L67" s="355">
        <f>Input!$MG$13</f>
        <v>0</v>
      </c>
      <c r="M67" s="357">
        <f t="shared" si="12"/>
        <v>45182938</v>
      </c>
      <c r="O67" s="316">
        <f t="shared" si="14"/>
        <v>45182938</v>
      </c>
      <c r="P67" s="317">
        <f>Input!$TM$13</f>
        <v>843807</v>
      </c>
      <c r="Q67" s="317">
        <f>Input!$TW$13</f>
        <v>0</v>
      </c>
      <c r="R67" s="317">
        <f>Input!$UF$13</f>
        <v>0</v>
      </c>
      <c r="S67" s="321">
        <f t="shared" ref="S67:S72" si="16">O67+P67-Q67-R67</f>
        <v>46026745</v>
      </c>
      <c r="T67" s="320"/>
      <c r="U67" s="495">
        <f t="shared" si="15"/>
        <v>45182938</v>
      </c>
      <c r="V67" s="320"/>
      <c r="W67" s="314" t="s">
        <v>16</v>
      </c>
      <c r="X67" s="363">
        <f>Input!$UQ$13</f>
        <v>45182938</v>
      </c>
      <c r="Y67" s="319">
        <f t="shared" si="13"/>
        <v>0</v>
      </c>
      <c r="Z67" s="320"/>
      <c r="AA67" s="320"/>
      <c r="AB67" s="320"/>
    </row>
    <row r="68" spans="1:28" s="149" customFormat="1">
      <c r="A68" s="147">
        <v>51</v>
      </c>
      <c r="B68" s="161" t="s">
        <v>55</v>
      </c>
      <c r="C68" s="161"/>
      <c r="D68" s="355">
        <f>Input!$MH$13</f>
        <v>0</v>
      </c>
      <c r="E68" s="355">
        <f>Input!$MI$13</f>
        <v>0</v>
      </c>
      <c r="F68" s="355">
        <f>Input!$MJ$13</f>
        <v>0</v>
      </c>
      <c r="G68" s="355">
        <f>Input!$MK$13</f>
        <v>0</v>
      </c>
      <c r="H68" s="355">
        <f>Input!$ML$13</f>
        <v>0</v>
      </c>
      <c r="I68" s="355">
        <f>Input!$MM$13</f>
        <v>0</v>
      </c>
      <c r="J68" s="355">
        <f>Input!$MN$13</f>
        <v>0</v>
      </c>
      <c r="K68" s="355">
        <f>Input!$MO$13</f>
        <v>0</v>
      </c>
      <c r="L68" s="355">
        <f>Input!$MP$13</f>
        <v>0</v>
      </c>
      <c r="M68" s="357">
        <f t="shared" si="12"/>
        <v>0</v>
      </c>
      <c r="O68" s="316">
        <f t="shared" si="14"/>
        <v>0</v>
      </c>
      <c r="P68" s="317">
        <f>Input!$TN$13</f>
        <v>0</v>
      </c>
      <c r="Q68" s="317">
        <f>Input!$TX$13</f>
        <v>0</v>
      </c>
      <c r="R68" s="317">
        <f>Input!$UG$13</f>
        <v>0</v>
      </c>
      <c r="S68" s="321">
        <f t="shared" si="16"/>
        <v>0</v>
      </c>
      <c r="T68" s="320"/>
      <c r="U68" s="495">
        <f t="shared" si="15"/>
        <v>0</v>
      </c>
      <c r="V68" s="320"/>
      <c r="W68" s="314" t="s">
        <v>55</v>
      </c>
      <c r="X68" s="363">
        <f>Input!$UR$13</f>
        <v>0</v>
      </c>
      <c r="Y68" s="319">
        <f t="shared" si="13"/>
        <v>0</v>
      </c>
      <c r="Z68" s="320"/>
      <c r="AA68" s="320"/>
      <c r="AB68" s="320"/>
    </row>
    <row r="69" spans="1:28" s="149" customFormat="1">
      <c r="A69" s="147">
        <v>52</v>
      </c>
      <c r="B69" s="161" t="s">
        <v>17</v>
      </c>
      <c r="C69" s="161"/>
      <c r="D69" s="355">
        <f>Input!$MQ$13</f>
        <v>13712926</v>
      </c>
      <c r="E69" s="355">
        <f>Input!$MR$13</f>
        <v>5177972</v>
      </c>
      <c r="F69" s="355">
        <f>Input!$MS$13</f>
        <v>0</v>
      </c>
      <c r="G69" s="355">
        <f>Input!$MT$13</f>
        <v>309752</v>
      </c>
      <c r="H69" s="355">
        <f>Input!$MU$13</f>
        <v>0</v>
      </c>
      <c r="I69" s="355">
        <f>Input!$MV$13</f>
        <v>0</v>
      </c>
      <c r="J69" s="355">
        <f>Input!$MW$13</f>
        <v>0</v>
      </c>
      <c r="K69" s="355">
        <f>Input!$MX$13</f>
        <v>0</v>
      </c>
      <c r="L69" s="355">
        <f>Input!$MY$13</f>
        <v>0</v>
      </c>
      <c r="M69" s="357">
        <f t="shared" si="12"/>
        <v>19200650</v>
      </c>
      <c r="O69" s="316">
        <f t="shared" si="14"/>
        <v>19200650</v>
      </c>
      <c r="P69" s="317">
        <f>Input!$TO$13</f>
        <v>1068880</v>
      </c>
      <c r="Q69" s="317">
        <f>Input!$TY$13</f>
        <v>0</v>
      </c>
      <c r="R69" s="317">
        <f>Input!$UH$13</f>
        <v>0</v>
      </c>
      <c r="S69" s="321">
        <f t="shared" si="16"/>
        <v>20269530</v>
      </c>
      <c r="T69" s="320"/>
      <c r="U69" s="495">
        <f t="shared" si="15"/>
        <v>19200650</v>
      </c>
      <c r="V69" s="320"/>
      <c r="W69" s="314" t="s">
        <v>17</v>
      </c>
      <c r="X69" s="363">
        <f>Input!$US$13</f>
        <v>19200650</v>
      </c>
      <c r="Y69" s="319">
        <f t="shared" si="13"/>
        <v>0</v>
      </c>
      <c r="Z69" s="320"/>
      <c r="AA69" s="320"/>
      <c r="AB69" s="320"/>
    </row>
    <row r="70" spans="1:28" s="149" customFormat="1">
      <c r="A70" s="147">
        <v>53</v>
      </c>
      <c r="B70" s="161" t="s">
        <v>18</v>
      </c>
      <c r="C70" s="161"/>
      <c r="D70" s="355">
        <f>Input!$MZ$13</f>
        <v>3121264</v>
      </c>
      <c r="E70" s="355">
        <f>Input!$NA$13</f>
        <v>2395053</v>
      </c>
      <c r="F70" s="355">
        <f>Input!$NB$13</f>
        <v>0</v>
      </c>
      <c r="G70" s="355">
        <f>Input!$NC$13</f>
        <v>600</v>
      </c>
      <c r="H70" s="355">
        <f>Input!$ND$13</f>
        <v>0</v>
      </c>
      <c r="I70" s="355">
        <f>Input!$NE$13</f>
        <v>0</v>
      </c>
      <c r="J70" s="355">
        <f>Input!$NF$13</f>
        <v>0</v>
      </c>
      <c r="K70" s="355">
        <f>Input!$NG$13</f>
        <v>0</v>
      </c>
      <c r="L70" s="355">
        <f>Input!$NH$13</f>
        <v>0</v>
      </c>
      <c r="M70" s="357">
        <f t="shared" si="12"/>
        <v>5516917</v>
      </c>
      <c r="O70" s="316">
        <f t="shared" si="14"/>
        <v>5516917</v>
      </c>
      <c r="P70" s="317">
        <f>Input!$TP$13</f>
        <v>0</v>
      </c>
      <c r="Q70" s="317">
        <f>Input!$TZ$13</f>
        <v>0</v>
      </c>
      <c r="R70" s="317">
        <f>Input!$UI$13</f>
        <v>0</v>
      </c>
      <c r="S70" s="321">
        <f t="shared" si="16"/>
        <v>5516917</v>
      </c>
      <c r="T70" s="320"/>
      <c r="U70" s="495">
        <f t="shared" si="15"/>
        <v>5516917</v>
      </c>
      <c r="V70" s="320"/>
      <c r="W70" s="314" t="s">
        <v>18</v>
      </c>
      <c r="X70" s="363">
        <f>Input!$UT$13</f>
        <v>5516917</v>
      </c>
      <c r="Y70" s="319">
        <f t="shared" si="13"/>
        <v>0</v>
      </c>
      <c r="Z70" s="320"/>
      <c r="AA70" s="320"/>
      <c r="AB70" s="320"/>
    </row>
    <row r="71" spans="1:28" s="149" customFormat="1">
      <c r="A71" s="147">
        <v>54</v>
      </c>
      <c r="B71" s="161" t="s">
        <v>19</v>
      </c>
      <c r="C71" s="161"/>
      <c r="D71" s="355">
        <f>Input!$NI$13</f>
        <v>12206108</v>
      </c>
      <c r="E71" s="355">
        <f>Input!$NJ$13</f>
        <v>5647039</v>
      </c>
      <c r="F71" s="355">
        <f>Input!$NK$13</f>
        <v>0</v>
      </c>
      <c r="G71" s="355">
        <f>Input!$NL$13</f>
        <v>45897</v>
      </c>
      <c r="H71" s="355">
        <f>Input!$NM$13</f>
        <v>0</v>
      </c>
      <c r="I71" s="355">
        <f>Input!$NN$13</f>
        <v>56850</v>
      </c>
      <c r="J71" s="355">
        <f>Input!$NO$13</f>
        <v>0</v>
      </c>
      <c r="K71" s="355">
        <f>Input!$NP$13</f>
        <v>0</v>
      </c>
      <c r="L71" s="355">
        <f>Input!$NQ$13</f>
        <v>0</v>
      </c>
      <c r="M71" s="357">
        <f t="shared" si="12"/>
        <v>17955894</v>
      </c>
      <c r="O71" s="316">
        <f t="shared" si="14"/>
        <v>17899044</v>
      </c>
      <c r="P71" s="317">
        <f>Input!$TQ$13</f>
        <v>279153</v>
      </c>
      <c r="Q71" s="317">
        <f>Input!$UA$13</f>
        <v>0</v>
      </c>
      <c r="R71" s="317">
        <f>Input!$UJ$13</f>
        <v>0</v>
      </c>
      <c r="S71" s="321">
        <f t="shared" si="16"/>
        <v>18178197</v>
      </c>
      <c r="T71" s="320"/>
      <c r="U71" s="495">
        <f t="shared" si="15"/>
        <v>17899044</v>
      </c>
      <c r="V71" s="320"/>
      <c r="W71" s="314" t="s">
        <v>19</v>
      </c>
      <c r="X71" s="363">
        <f>Input!$UU$13</f>
        <v>17955894</v>
      </c>
      <c r="Y71" s="319">
        <f t="shared" si="13"/>
        <v>0</v>
      </c>
      <c r="Z71" s="320"/>
      <c r="AA71" s="320"/>
      <c r="AB71" s="320"/>
    </row>
    <row r="72" spans="1:28" s="149" customFormat="1">
      <c r="A72" s="147">
        <v>55</v>
      </c>
      <c r="B72" s="161" t="s">
        <v>20</v>
      </c>
      <c r="C72" s="161"/>
      <c r="D72" s="355">
        <f>Input!$NR$13</f>
        <v>11259861</v>
      </c>
      <c r="E72" s="355">
        <f>Input!$NS$13</f>
        <v>2102590</v>
      </c>
      <c r="F72" s="355">
        <f>Input!$NT$13</f>
        <v>0</v>
      </c>
      <c r="G72" s="355">
        <f>Input!$NU$13</f>
        <v>-32597</v>
      </c>
      <c r="H72" s="355">
        <f>Input!$NV$13</f>
        <v>0</v>
      </c>
      <c r="I72" s="355">
        <f>Input!$NW$13</f>
        <v>0</v>
      </c>
      <c r="J72" s="355">
        <f>Input!$NX$13</f>
        <v>0</v>
      </c>
      <c r="K72" s="355">
        <f>Input!$NY$13</f>
        <v>0</v>
      </c>
      <c r="L72" s="355">
        <f>Input!$NZ$13</f>
        <v>45876</v>
      </c>
      <c r="M72" s="357">
        <f t="shared" si="12"/>
        <v>13375730</v>
      </c>
      <c r="O72" s="316">
        <f t="shared" si="14"/>
        <v>13329854</v>
      </c>
      <c r="P72" s="317">
        <f>Input!$TR$13</f>
        <v>1185002</v>
      </c>
      <c r="Q72" s="317">
        <f>Input!$UB$13</f>
        <v>0</v>
      </c>
      <c r="R72" s="317">
        <f>Input!$UK$13</f>
        <v>0</v>
      </c>
      <c r="S72" s="321">
        <f t="shared" si="16"/>
        <v>14514856</v>
      </c>
      <c r="T72" s="320"/>
      <c r="U72" s="495">
        <f t="shared" si="15"/>
        <v>13329854</v>
      </c>
      <c r="V72" s="320"/>
      <c r="W72" s="314" t="s">
        <v>184</v>
      </c>
      <c r="X72" s="363">
        <f>Input!$UV$13</f>
        <v>13375730</v>
      </c>
      <c r="Y72" s="319">
        <f t="shared" si="13"/>
        <v>0</v>
      </c>
      <c r="Z72" s="320"/>
      <c r="AA72" s="320"/>
      <c r="AB72" s="320"/>
    </row>
    <row r="73" spans="1:28" s="149" customFormat="1" ht="13.5" thickBot="1">
      <c r="A73" s="147">
        <v>56</v>
      </c>
      <c r="B73" s="161" t="s">
        <v>21</v>
      </c>
      <c r="C73" s="161"/>
      <c r="D73" s="355">
        <f>Input!$OA$13</f>
        <v>174063</v>
      </c>
      <c r="E73" s="355">
        <f>Input!$OB$13</f>
        <v>-36817</v>
      </c>
      <c r="F73" s="355">
        <f>Input!$OC$13</f>
        <v>0</v>
      </c>
      <c r="G73" s="355">
        <f>Input!$OD$13</f>
        <v>362868</v>
      </c>
      <c r="H73" s="355">
        <f>Input!$OE$13</f>
        <v>46393</v>
      </c>
      <c r="I73" s="355">
        <f>Input!$OF$13</f>
        <v>0</v>
      </c>
      <c r="J73" s="355">
        <f>Input!$OG$13</f>
        <v>0</v>
      </c>
      <c r="K73" s="355">
        <f>Input!$OH$13</f>
        <v>0</v>
      </c>
      <c r="L73" s="355">
        <f>Input!$OI$13</f>
        <v>0</v>
      </c>
      <c r="M73" s="357">
        <f t="shared" si="12"/>
        <v>546507</v>
      </c>
      <c r="O73" s="322">
        <f>D73+E73+G73</f>
        <v>500114</v>
      </c>
      <c r="P73" s="317">
        <f>Input!$TS$13</f>
        <v>0</v>
      </c>
      <c r="Q73" s="323">
        <f>Input!$UC$13</f>
        <v>0</v>
      </c>
      <c r="R73" s="323">
        <f>Input!$UL$13</f>
        <v>0</v>
      </c>
      <c r="S73" s="324">
        <f>O73+P73-Q73-R73</f>
        <v>500114</v>
      </c>
      <c r="T73" s="325"/>
      <c r="U73" s="495">
        <f t="shared" si="15"/>
        <v>500114</v>
      </c>
      <c r="V73" s="325"/>
      <c r="W73" s="314" t="s">
        <v>21</v>
      </c>
      <c r="X73" s="363">
        <f>Input!$UW$13</f>
        <v>546507</v>
      </c>
      <c r="Y73" s="319">
        <f t="shared" si="13"/>
        <v>0</v>
      </c>
      <c r="Z73" s="320"/>
      <c r="AA73" s="320"/>
      <c r="AB73" s="320"/>
    </row>
    <row r="74" spans="1:28" s="149" customFormat="1" ht="13.5" thickTop="1">
      <c r="A74" s="147">
        <v>57</v>
      </c>
      <c r="B74" s="161" t="s">
        <v>1363</v>
      </c>
      <c r="C74" s="161"/>
      <c r="D74" s="355">
        <f>Input!$OJ$13</f>
        <v>0</v>
      </c>
      <c r="E74" s="355">
        <f>Input!$OK$13</f>
        <v>0</v>
      </c>
      <c r="F74" s="355">
        <f>Input!$OL$13</f>
        <v>484952</v>
      </c>
      <c r="G74" s="355">
        <f>Input!$OM$13</f>
        <v>0</v>
      </c>
      <c r="H74" s="355">
        <f>Input!$ON$13</f>
        <v>0</v>
      </c>
      <c r="I74" s="355">
        <f>Input!$OO$13</f>
        <v>0</v>
      </c>
      <c r="J74" s="355">
        <f>Input!$OP$13</f>
        <v>0</v>
      </c>
      <c r="K74" s="355">
        <f>Input!$OQ$13</f>
        <v>0</v>
      </c>
      <c r="L74" s="355">
        <f>Input!$OR$13</f>
        <v>0</v>
      </c>
      <c r="M74" s="357">
        <f t="shared" si="12"/>
        <v>484952</v>
      </c>
      <c r="O74" s="326"/>
      <c r="P74" s="858">
        <f>Input!$TT$13</f>
        <v>0</v>
      </c>
      <c r="Q74" s="327"/>
      <c r="R74" s="328"/>
      <c r="S74" s="329">
        <f>SUM(S65:S73)</f>
        <v>213001800</v>
      </c>
      <c r="T74" s="328"/>
      <c r="U74" s="495">
        <f t="shared" si="15"/>
        <v>484952</v>
      </c>
      <c r="V74" s="328"/>
      <c r="W74" s="314" t="s">
        <v>22</v>
      </c>
      <c r="X74" s="363">
        <f>Input!$UX$13</f>
        <v>484952</v>
      </c>
      <c r="Y74" s="319">
        <f t="shared" si="13"/>
        <v>0</v>
      </c>
      <c r="Z74" s="320"/>
      <c r="AA74" s="320"/>
      <c r="AB74" s="320"/>
    </row>
    <row r="75" spans="1:28" s="149" customFormat="1">
      <c r="A75" s="147">
        <v>58</v>
      </c>
      <c r="B75" s="162" t="s">
        <v>62</v>
      </c>
      <c r="C75" s="162"/>
      <c r="D75" s="355">
        <f>Input!$OS$13</f>
        <v>5127641</v>
      </c>
      <c r="E75" s="355">
        <f>Input!$OT$13</f>
        <v>312818</v>
      </c>
      <c r="F75" s="355">
        <f>Input!$OU$13</f>
        <v>413540</v>
      </c>
      <c r="G75" s="355">
        <f>Input!$OV$13</f>
        <v>0</v>
      </c>
      <c r="H75" s="355">
        <f>Input!$OW$13</f>
        <v>0</v>
      </c>
      <c r="I75" s="355">
        <f>Input!$OX$13</f>
        <v>0</v>
      </c>
      <c r="J75" s="355">
        <f>Input!$OY$13</f>
        <v>0</v>
      </c>
      <c r="K75" s="355">
        <f>Input!$OZ$13</f>
        <v>0</v>
      </c>
      <c r="L75" s="355">
        <f>Input!$PA$13</f>
        <v>0</v>
      </c>
      <c r="M75" s="357">
        <f t="shared" si="12"/>
        <v>5853999</v>
      </c>
      <c r="O75" s="326"/>
      <c r="P75" s="326">
        <f>SUM(P65:P74)</f>
        <v>5853999</v>
      </c>
      <c r="Q75" s="327" t="s">
        <v>185</v>
      </c>
      <c r="R75" s="328"/>
      <c r="S75" s="330"/>
      <c r="T75" s="328"/>
      <c r="U75" s="495">
        <f t="shared" si="15"/>
        <v>5853999</v>
      </c>
      <c r="V75" s="328"/>
      <c r="W75" s="314" t="s">
        <v>186</v>
      </c>
      <c r="X75" s="331">
        <f>M93*-1</f>
        <v>10707977</v>
      </c>
      <c r="Y75" s="319">
        <f>X75+M93</f>
        <v>0</v>
      </c>
      <c r="Z75" s="332"/>
      <c r="AA75" s="332"/>
      <c r="AB75" s="332"/>
    </row>
    <row r="76" spans="1:28" s="149" customFormat="1" ht="13.5" thickBot="1">
      <c r="A76" s="147">
        <v>59</v>
      </c>
      <c r="B76" s="163" t="s">
        <v>42</v>
      </c>
      <c r="C76" s="163"/>
      <c r="D76" s="359">
        <f>Input!$PB$13</f>
        <v>0</v>
      </c>
      <c r="E76" s="359">
        <f>Input!$PC$13</f>
        <v>48846</v>
      </c>
      <c r="F76" s="359">
        <f>Input!$PD$13</f>
        <v>0</v>
      </c>
      <c r="G76" s="359">
        <f>Input!$PE$13</f>
        <v>52368</v>
      </c>
      <c r="H76" s="359">
        <f>Input!$PF$13</f>
        <v>0</v>
      </c>
      <c r="I76" s="359">
        <f>Input!$PG$13</f>
        <v>0</v>
      </c>
      <c r="J76" s="359">
        <f>Input!$PH$13</f>
        <v>0</v>
      </c>
      <c r="K76" s="359">
        <f>Input!$PI$13</f>
        <v>0</v>
      </c>
      <c r="L76" s="359">
        <f>Input!$PJ$13</f>
        <v>1182</v>
      </c>
      <c r="M76" s="357">
        <f t="shared" si="12"/>
        <v>102396</v>
      </c>
      <c r="O76" s="326"/>
      <c r="P76" s="484" t="str">
        <f>IF(P75&lt;&gt;M75,"Out of Balance","Balanced")</f>
        <v>Balanced</v>
      </c>
      <c r="Q76" s="1322" t="s">
        <v>187</v>
      </c>
      <c r="R76" s="1323"/>
      <c r="S76" s="412">
        <f>Input!$UM$13</f>
        <v>0</v>
      </c>
      <c r="T76" s="333"/>
      <c r="U76" s="496">
        <f t="shared" si="15"/>
        <v>101214</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101368067</v>
      </c>
      <c r="E77" s="356">
        <f t="shared" si="17"/>
        <v>74554207</v>
      </c>
      <c r="F77" s="356">
        <f t="shared" si="17"/>
        <v>898492</v>
      </c>
      <c r="G77" s="356">
        <f t="shared" si="17"/>
        <v>37857087</v>
      </c>
      <c r="H77" s="356">
        <f t="shared" si="17"/>
        <v>53566</v>
      </c>
      <c r="I77" s="356">
        <f t="shared" si="17"/>
        <v>56850</v>
      </c>
      <c r="J77" s="356">
        <f t="shared" si="17"/>
        <v>0</v>
      </c>
      <c r="K77" s="356">
        <f t="shared" si="17"/>
        <v>0</v>
      </c>
      <c r="L77" s="356">
        <f t="shared" si="17"/>
        <v>47058</v>
      </c>
      <c r="M77" s="356">
        <f t="shared" si="12"/>
        <v>214835327</v>
      </c>
      <c r="O77" s="50"/>
      <c r="P77" s="326"/>
      <c r="Q77" s="334" t="s">
        <v>188</v>
      </c>
      <c r="R77" s="335"/>
      <c r="S77" s="413">
        <f>Input!$UN$13</f>
        <v>0</v>
      </c>
      <c r="T77" s="336"/>
      <c r="U77" s="497">
        <f>SUM(U65:U76)</f>
        <v>214677853</v>
      </c>
      <c r="V77" s="336"/>
      <c r="W77" s="336"/>
      <c r="X77" s="337">
        <f>SUM(X65:X76)</f>
        <v>219586909</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213001800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t="s">
        <v>1186</v>
      </c>
      <c r="R79" s="305"/>
      <c r="S79" s="343"/>
      <c r="T79" s="333"/>
      <c r="U79" s="333"/>
      <c r="V79" s="336"/>
      <c r="W79" s="341"/>
      <c r="X79" s="341"/>
      <c r="Y79" s="341"/>
      <c r="Z79" s="341"/>
      <c r="AA79" s="341"/>
      <c r="AB79" s="341"/>
    </row>
    <row r="80" spans="1:28" s="149" customFormat="1">
      <c r="A80" s="147">
        <v>63</v>
      </c>
      <c r="B80" s="149" t="s">
        <v>63</v>
      </c>
      <c r="D80" s="355">
        <f>Input!$PK$13</f>
        <v>0</v>
      </c>
      <c r="E80" s="355">
        <f>Input!$PL$13</f>
        <v>0</v>
      </c>
      <c r="F80" s="355">
        <f>Input!$PM$13</f>
        <v>0</v>
      </c>
      <c r="G80" s="355">
        <f>Input!$PN$13</f>
        <v>0</v>
      </c>
      <c r="H80" s="355">
        <f>Input!$PO$13</f>
        <v>0</v>
      </c>
      <c r="I80" s="355">
        <f>Input!$PP$13</f>
        <v>0</v>
      </c>
      <c r="J80" s="355">
        <f>Input!$PQ$13</f>
        <v>0</v>
      </c>
      <c r="K80" s="355">
        <f>Input!$PR$13</f>
        <v>0</v>
      </c>
      <c r="L80" s="355">
        <f>Input!$PS$13</f>
        <v>-69392043</v>
      </c>
      <c r="M80" s="357">
        <f>D80+E80+F80+G80+H80+I80+J80+K80+L80</f>
        <v>-69392043</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Input!$PT$13</f>
        <v>-23753252</v>
      </c>
      <c r="E81" s="355">
        <f>Input!$PU$13</f>
        <v>58978522</v>
      </c>
      <c r="F81" s="355">
        <f>Input!$PV$13</f>
        <v>0</v>
      </c>
      <c r="G81" s="355">
        <f>Input!$PW$13</f>
        <v>3296941</v>
      </c>
      <c r="H81" s="355">
        <f>Input!$PX$13</f>
        <v>813667</v>
      </c>
      <c r="I81" s="355">
        <f>Input!$PY$13</f>
        <v>-1621237</v>
      </c>
      <c r="J81" s="355">
        <f>Input!$PZ$13</f>
        <v>0</v>
      </c>
      <c r="K81" s="355">
        <f>Input!$QA$13</f>
        <v>3189149</v>
      </c>
      <c r="L81" s="355">
        <f>Input!$QB$13</f>
        <v>76265192</v>
      </c>
      <c r="M81" s="357">
        <f>D81+E81+F81+G81+H81+I81+J81+K81+L81</f>
        <v>117168982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Input!$QL$13</f>
        <v>0</v>
      </c>
      <c r="E83" s="355">
        <f>Input!$QM$13</f>
        <v>0</v>
      </c>
      <c r="F83" s="355">
        <f>Input!$QN$13</f>
        <v>0</v>
      </c>
      <c r="G83" s="355">
        <f>Input!$QO$13</f>
        <v>0</v>
      </c>
      <c r="H83" s="355">
        <f>Input!$QP$13</f>
        <v>0</v>
      </c>
      <c r="I83" s="355">
        <f>Input!$QQ$13</f>
        <v>0</v>
      </c>
      <c r="J83" s="355">
        <f>Input!$QR$13</f>
        <v>0</v>
      </c>
      <c r="K83" s="355">
        <f>Input!$QS$13</f>
        <v>-3093366</v>
      </c>
      <c r="L83" s="355">
        <f>Input!$QT$13</f>
        <v>-17284</v>
      </c>
      <c r="M83" s="357">
        <f>D83+E83+F83+G83+H83+I83+J83+K83+L83</f>
        <v>-3110650</v>
      </c>
      <c r="O83" s="346"/>
      <c r="P83" s="458" t="s">
        <v>596</v>
      </c>
      <c r="Q83" s="459"/>
      <c r="R83" s="460"/>
      <c r="S83" s="461">
        <f>IF(M91&lt;0,"N/A",M91)</f>
        <v>118326555</v>
      </c>
      <c r="T83" s="326"/>
      <c r="U83" s="343"/>
      <c r="V83" s="305"/>
      <c r="W83" s="305"/>
      <c r="X83" s="343"/>
      <c r="Y83" s="343"/>
      <c r="Z83" s="305"/>
      <c r="AA83" s="305"/>
      <c r="AB83" s="305"/>
    </row>
    <row r="84" spans="1:28" s="149" customFormat="1">
      <c r="A84" s="147">
        <v>67</v>
      </c>
      <c r="B84" s="164" t="s">
        <v>3</v>
      </c>
      <c r="C84" s="164"/>
      <c r="D84" s="356">
        <f t="shared" ref="D84:L84" si="18">SUM(D80:D83)</f>
        <v>-23753252</v>
      </c>
      <c r="E84" s="356">
        <f t="shared" si="18"/>
        <v>58978522</v>
      </c>
      <c r="F84" s="356">
        <f t="shared" si="18"/>
        <v>0</v>
      </c>
      <c r="G84" s="356">
        <f t="shared" si="18"/>
        <v>3296941</v>
      </c>
      <c r="H84" s="356">
        <f t="shared" si="18"/>
        <v>813667</v>
      </c>
      <c r="I84" s="356">
        <f t="shared" si="18"/>
        <v>-1621237</v>
      </c>
      <c r="J84" s="356">
        <f t="shared" si="18"/>
        <v>0</v>
      </c>
      <c r="K84" s="356">
        <f t="shared" si="18"/>
        <v>95783</v>
      </c>
      <c r="L84" s="356">
        <f t="shared" si="18"/>
        <v>6855865</v>
      </c>
      <c r="M84" s="356">
        <f>D84+E84+F84+G84+H84+I84+J84+K84+L84</f>
        <v>44666289</v>
      </c>
      <c r="O84" s="346"/>
      <c r="P84" s="462" t="s">
        <v>597</v>
      </c>
      <c r="Q84" s="347"/>
      <c r="R84" s="347"/>
      <c r="S84" s="492">
        <f>Input!$UY$13</f>
        <v>117960091</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366464</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Input!$QU$13</f>
        <v>0</v>
      </c>
      <c r="E87" s="355">
        <f>Input!$QV$13</f>
        <v>1300612</v>
      </c>
      <c r="F87" s="355">
        <f>Input!$QW$13</f>
        <v>0</v>
      </c>
      <c r="G87" s="355">
        <f>Input!$QX$13</f>
        <v>1085</v>
      </c>
      <c r="H87" s="355">
        <f>Input!$QY$13</f>
        <v>0</v>
      </c>
      <c r="I87" s="355">
        <f>Input!$QZ$13</f>
        <v>-935233</v>
      </c>
      <c r="J87" s="355">
        <f>Input!$RA$13</f>
        <v>0</v>
      </c>
      <c r="K87" s="355">
        <f>Input!$RB$13</f>
        <v>0</v>
      </c>
      <c r="L87" s="355">
        <f>Input!$RC$13</f>
        <v>0</v>
      </c>
      <c r="M87" s="357">
        <f>D87+E87+F87+G87+H87+I87+J87+K87+L87</f>
        <v>366464</v>
      </c>
      <c r="O87" s="51"/>
      <c r="P87" s="467" t="s">
        <v>599</v>
      </c>
      <c r="Q87" s="305"/>
      <c r="R87" s="347"/>
      <c r="S87" s="463">
        <f>Input!$UZ$13</f>
        <v>366464</v>
      </c>
      <c r="T87" s="50"/>
      <c r="U87" s="50"/>
      <c r="V87" s="50"/>
      <c r="W87" s="305"/>
      <c r="X87" s="343"/>
      <c r="Y87" s="343"/>
      <c r="Z87" s="305"/>
      <c r="AA87" s="305"/>
      <c r="AB87" s="305"/>
    </row>
    <row r="88" spans="1:28" s="149" customFormat="1">
      <c r="A88" s="147">
        <v>71</v>
      </c>
      <c r="B88" s="149" t="s">
        <v>45</v>
      </c>
      <c r="D88" s="355">
        <f>Input!$RD$13</f>
        <v>0</v>
      </c>
      <c r="E88" s="355">
        <f>Input!$RE$13</f>
        <v>0</v>
      </c>
      <c r="F88" s="355">
        <f>Input!$RF$13</f>
        <v>0</v>
      </c>
      <c r="G88" s="355">
        <f>Input!$RG$13</f>
        <v>0</v>
      </c>
      <c r="H88" s="355">
        <f>Input!$RH$13</f>
        <v>0</v>
      </c>
      <c r="I88" s="355">
        <f>Input!$RI$13</f>
        <v>4000000</v>
      </c>
      <c r="J88" s="355">
        <f>Input!$RJ$13</f>
        <v>0</v>
      </c>
      <c r="K88" s="355">
        <f>Input!$RK$13</f>
        <v>0</v>
      </c>
      <c r="L88" s="355">
        <f>Input!$RL$13</f>
        <v>0</v>
      </c>
      <c r="M88" s="357">
        <f>D88+E88+F88+G88+H88+I88+J88+K88+L88</f>
        <v>4000000</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1300612</v>
      </c>
      <c r="F89" s="356">
        <f t="shared" si="19"/>
        <v>0</v>
      </c>
      <c r="G89" s="356">
        <f t="shared" si="19"/>
        <v>1085</v>
      </c>
      <c r="H89" s="356">
        <f t="shared" si="19"/>
        <v>0</v>
      </c>
      <c r="I89" s="356">
        <f t="shared" si="19"/>
        <v>3064767</v>
      </c>
      <c r="J89" s="356">
        <f t="shared" si="19"/>
        <v>0</v>
      </c>
      <c r="K89" s="356">
        <f t="shared" si="19"/>
        <v>0</v>
      </c>
      <c r="L89" s="356">
        <f t="shared" si="19"/>
        <v>0</v>
      </c>
      <c r="M89" s="356">
        <f>D89+E89+F89+G89+H89+I89+J89+K89+L89</f>
        <v>4366464</v>
      </c>
      <c r="O89" s="51"/>
      <c r="P89" s="470" t="s">
        <v>601</v>
      </c>
      <c r="Q89" s="305"/>
      <c r="R89" s="305"/>
      <c r="S89" s="464">
        <f>IFERROR(S85-S87,"")</f>
        <v>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5771970</v>
      </c>
      <c r="E91" s="356">
        <f t="shared" si="20"/>
        <v>89827891</v>
      </c>
      <c r="F91" s="356">
        <f t="shared" si="20"/>
        <v>-273249</v>
      </c>
      <c r="G91" s="356">
        <f t="shared" si="20"/>
        <v>10336563</v>
      </c>
      <c r="H91" s="356">
        <f t="shared" si="20"/>
        <v>835587</v>
      </c>
      <c r="I91" s="356">
        <f t="shared" si="20"/>
        <v>5011547</v>
      </c>
      <c r="J91" s="356">
        <f t="shared" si="20"/>
        <v>0</v>
      </c>
      <c r="K91" s="356">
        <f t="shared" si="20"/>
        <v>305409</v>
      </c>
      <c r="L91" s="356">
        <f>L63-L77+L84+L89</f>
        <v>6510837</v>
      </c>
      <c r="M91" s="356">
        <f>D91+E91+F91+G91+H91+I91+J91+K91+L91</f>
        <v>118326555</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Input!$RM$13</f>
        <v>0</v>
      </c>
      <c r="E93" s="355">
        <f>Input!$RN$13</f>
        <v>0</v>
      </c>
      <c r="F93" s="355">
        <f>Input!$RO$13</f>
        <v>0</v>
      </c>
      <c r="G93" s="355">
        <f>Input!$RP$13</f>
        <v>0</v>
      </c>
      <c r="H93" s="355">
        <f>Input!$RQ$13</f>
        <v>0</v>
      </c>
      <c r="I93" s="355">
        <f>Input!$RR$13</f>
        <v>0</v>
      </c>
      <c r="J93" s="355">
        <f>Input!$RS$13</f>
        <v>0</v>
      </c>
      <c r="K93" s="355">
        <f>Input!$RT$13</f>
        <v>0</v>
      </c>
      <c r="L93" s="355">
        <f>Input!$RU$13</f>
        <v>-10707977</v>
      </c>
      <c r="M93" s="357">
        <f>D93+E93+F93+G93+H93+I93+J93+K93+L93</f>
        <v>-10707977</v>
      </c>
      <c r="O93" s="299"/>
      <c r="P93" s="50"/>
      <c r="Q93" s="50"/>
      <c r="R93" s="50"/>
      <c r="S93" s="50"/>
      <c r="T93" s="50"/>
      <c r="U93" s="50"/>
      <c r="V93" s="50"/>
      <c r="W93" s="50"/>
      <c r="X93" s="50"/>
      <c r="Y93" s="50"/>
      <c r="Z93" s="50"/>
      <c r="AA93" s="50"/>
      <c r="AB93" s="50"/>
    </row>
    <row r="94" spans="1:28" s="149" customFormat="1">
      <c r="A94" s="147">
        <v>78</v>
      </c>
      <c r="B94" s="51" t="s">
        <v>94</v>
      </c>
      <c r="C94" s="51"/>
      <c r="D94" s="355">
        <f>Input!$RV$13</f>
        <v>0</v>
      </c>
      <c r="E94" s="355">
        <f>Input!$RW$13</f>
        <v>0</v>
      </c>
      <c r="F94" s="355">
        <f>Input!$RX$13</f>
        <v>0</v>
      </c>
      <c r="G94" s="355">
        <f>Input!$RY$13</f>
        <v>0</v>
      </c>
      <c r="H94" s="355">
        <f>Input!$RZ$13</f>
        <v>0</v>
      </c>
      <c r="I94" s="355">
        <f>Input!$SA$13</f>
        <v>0</v>
      </c>
      <c r="J94" s="355">
        <f>Input!$SB$13</f>
        <v>0</v>
      </c>
      <c r="K94" s="355">
        <f>Input!$SC$13</f>
        <v>0</v>
      </c>
      <c r="L94" s="355">
        <f>Input!$SD$13</f>
        <v>-759202</v>
      </c>
      <c r="M94" s="357">
        <f>D94+E94+F94+G94+H94+I94+J94+K94+L94</f>
        <v>-759202</v>
      </c>
      <c r="O94" s="348"/>
      <c r="P94" s="349"/>
      <c r="Q94" s="50"/>
      <c r="R94" s="50"/>
      <c r="S94" s="50"/>
      <c r="T94" s="50"/>
      <c r="U94" s="50"/>
      <c r="V94" s="50"/>
      <c r="W94" s="50"/>
      <c r="X94" s="50"/>
      <c r="Y94" s="50"/>
      <c r="Z94" s="50"/>
      <c r="AA94" s="50"/>
      <c r="AB94" s="50"/>
    </row>
    <row r="95" spans="1:28" s="149" customFormat="1">
      <c r="A95" s="147"/>
      <c r="B95" s="51" t="s">
        <v>103</v>
      </c>
      <c r="C95" s="51"/>
      <c r="D95" s="355">
        <f>Input!$SE$13</f>
        <v>0</v>
      </c>
      <c r="E95" s="355">
        <f>Input!$SF$13</f>
        <v>0</v>
      </c>
      <c r="F95" s="355">
        <f>Input!$SG$13</f>
        <v>0</v>
      </c>
      <c r="G95" s="355">
        <f>Input!$SH$13</f>
        <v>0</v>
      </c>
      <c r="H95" s="355">
        <f>Input!$SI$13</f>
        <v>0</v>
      </c>
      <c r="I95" s="355">
        <f>Input!$SJ$13</f>
        <v>0</v>
      </c>
      <c r="J95" s="355">
        <f>Input!$SK$13</f>
        <v>0</v>
      </c>
      <c r="K95" s="355">
        <f>Input!$SL$13</f>
        <v>0</v>
      </c>
      <c r="L95" s="355">
        <f>Input!$SM$13</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Input!$SN$13</f>
        <v>0</v>
      </c>
      <c r="E96" s="355">
        <f>Input!$SO$13</f>
        <v>0</v>
      </c>
      <c r="F96" s="355">
        <f>Input!$SP$13</f>
        <v>0</v>
      </c>
      <c r="G96" s="355">
        <f>Input!$SQ$13</f>
        <v>70000</v>
      </c>
      <c r="H96" s="355">
        <f>Input!$SR$13</f>
        <v>0</v>
      </c>
      <c r="I96" s="355">
        <f>Input!$SS$13</f>
        <v>0</v>
      </c>
      <c r="J96" s="355">
        <f>Input!$ST$13</f>
        <v>0</v>
      </c>
      <c r="K96" s="355">
        <f>Input!$SU$13</f>
        <v>0</v>
      </c>
      <c r="L96" s="355">
        <f>Input!$SV$13</f>
        <v>57567</v>
      </c>
      <c r="M96" s="357">
        <f>D96+E96+F96+G96+H96+I96+J96+K96+L96</f>
        <v>127567</v>
      </c>
      <c r="O96" s="348"/>
      <c r="P96" s="50"/>
      <c r="Q96" s="50"/>
      <c r="R96" s="50"/>
      <c r="S96" s="50"/>
      <c r="T96" s="157"/>
      <c r="U96" s="157"/>
      <c r="V96" s="157"/>
      <c r="W96" s="157"/>
      <c r="X96" s="157"/>
      <c r="Y96" s="50"/>
      <c r="Z96" s="50"/>
      <c r="AA96" s="50"/>
      <c r="AB96" s="50"/>
    </row>
    <row r="97" spans="1:28" s="149" customFormat="1">
      <c r="A97" s="147">
        <v>79</v>
      </c>
      <c r="B97" s="51" t="s">
        <v>70</v>
      </c>
      <c r="C97" s="51"/>
      <c r="D97" s="355">
        <f>Input!$SW$13</f>
        <v>0</v>
      </c>
      <c r="E97" s="355">
        <f>Input!$SX$13</f>
        <v>0</v>
      </c>
      <c r="F97" s="355">
        <f>Input!$SY$13</f>
        <v>0</v>
      </c>
      <c r="G97" s="355">
        <f>Input!$SZ$13</f>
        <v>0</v>
      </c>
      <c r="H97" s="355">
        <f>Input!$TA$13</f>
        <v>0</v>
      </c>
      <c r="I97" s="355">
        <f>Input!$TB$13</f>
        <v>0</v>
      </c>
      <c r="J97" s="355">
        <f>Input!$TC$13</f>
        <v>0</v>
      </c>
      <c r="K97" s="355">
        <f>Input!$TD$13</f>
        <v>0</v>
      </c>
      <c r="L97" s="355">
        <f>Input!$TE$13</f>
        <v>75246042</v>
      </c>
      <c r="M97" s="357">
        <f>D97+E97+F97+G97+H97+I97+J97+K97+L97</f>
        <v>75246042</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5771970</v>
      </c>
      <c r="E98" s="360">
        <f t="shared" si="21"/>
        <v>89827891</v>
      </c>
      <c r="F98" s="360">
        <f t="shared" si="21"/>
        <v>-273249</v>
      </c>
      <c r="G98" s="360">
        <f t="shared" si="21"/>
        <v>10406563</v>
      </c>
      <c r="H98" s="360">
        <f t="shared" si="21"/>
        <v>835587</v>
      </c>
      <c r="I98" s="360">
        <f t="shared" si="21"/>
        <v>5011547</v>
      </c>
      <c r="J98" s="360">
        <f t="shared" si="21"/>
        <v>0</v>
      </c>
      <c r="K98" s="360">
        <f t="shared" si="21"/>
        <v>305409</v>
      </c>
      <c r="L98" s="360">
        <f t="shared" si="21"/>
        <v>70347267</v>
      </c>
      <c r="M98" s="360">
        <f>SUM(M91:M97)</f>
        <v>182232985</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Input!$VC$13</f>
        <v>Julie Meisinger</v>
      </c>
      <c r="Q103" s="1334"/>
      <c r="R103" s="1333" t="str">
        <f>Input!$VD$13</f>
        <v>817-735-2609</v>
      </c>
      <c r="S103" s="1334"/>
      <c r="T103" s="305"/>
      <c r="U103" s="1335" t="str">
        <f>HYPERLINK("Mailto:"&amp;Input!$VE$13,Input!$VE$13)</f>
        <v>julie.meisinger@untsystem.edu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Input!$TF$13</f>
        <v>182232985</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IF($L$123&lt;&gt;Input!$F$13,"Out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207178097</v>
      </c>
      <c r="E110" s="357">
        <f>SUM($E$10:$E$14)+SUM($E$19:$E$28)+SUM($E$50)+$E$53+SUM($E$56:$E$61)+SUM($E$65:$E$76)+SUM($E$80:$E$83)+SUM($E$87:$E$88)+SUM($E$93:$E$97)+SUM($E$32:$E$41)+$E$47</f>
        <v>238527826</v>
      </c>
      <c r="F110" s="357">
        <f>SUM($F$10:$F$14)+SUM($F$19:$F$28)+SUM($F$50)+$F$53+SUM($F$56:$F$61)+SUM($F$65:$F$76)+SUM($F$80:$F$83)+SUM($F$87:$F$88)+SUM($F$93:$F$97)+SUM($F$32:$F$41)+$F$47</f>
        <v>1523735</v>
      </c>
      <c r="G110" s="357">
        <f>SUM($G$10:$G$14)+SUM($G$19:$G$28)+SUM($G$50)+$G$53+SUM($G$56:$G$61)+SUM($G$65:$G$76)+SUM($G$80:$G$83)+SUM($G$87:$G$88)+SUM($G$93:$G$97)+SUM($G$32:$G$41)+$G$47</f>
        <v>86120737</v>
      </c>
      <c r="H110" s="357">
        <f>SUM($H$10:$H$14)+SUM($H$19:$H$28)+SUM($H$50)+$H$53+SUM($H$56:$H$61)+SUM($H$65:$H$76)+SUM($H$80:$H$83)+SUM($H$87:$H$88)+SUM($H$93:$H$97)+SUM($H$32:$H$41)+$H$47</f>
        <v>942719</v>
      </c>
      <c r="I110" s="357">
        <f>SUM($I$10:$I$14)+SUM($I$19:$I$28)+SUM($I$50)+$I$53+SUM($I$56:$I$61)+SUM($I$65:$I$76)+SUM($I$80:$I$83)+SUM($I$87:$I$88)+SUM($I$93:$I$97)+SUM($I$32:$I$41)+$I$47</f>
        <v>5125247</v>
      </c>
      <c r="J110" s="357">
        <f>SUM($J$10:$J$14)+SUM($J$19:$J$28)+SUM($J$50)+$J$53+SUM($J$56:$J$61)+SUM($J$65:$J$76)+SUM($J$80:$J$83)+SUM($J$87:$J$88)+SUM($J$93:$J$97)+SUM($J$32:$J$41)+$J$47</f>
        <v>0</v>
      </c>
      <c r="K110" s="357">
        <f>SUM($K$10:$K$14)+SUM($K$19:$K$28)+SUM($K$50)+$K$53+SUM($K$56:$K$61)+SUM($K$65:$K$76)+SUM($K$80:$K$83)+SUM($K$87:$K$88)+SUM($K$93:$K$97)+SUM($K$32:$K$41)+$K$47</f>
        <v>305409</v>
      </c>
      <c r="L110" s="357">
        <f>SUM($L$10:$L$14)+SUM($L$19:$L$28)+SUM($L$50)+$L$53+SUM($L$56:$L$61)+SUM($L$65:$L$76)+SUM($L$80:$L$83)+SUM($L$87:$L$88)+SUM($L$93:$L$97)+SUM($L$32:$L$41)+$L$47</f>
        <v>70441383</v>
      </c>
      <c r="M110" s="51"/>
      <c r="O110" s="51"/>
    </row>
    <row r="111" spans="1:28" s="50" customFormat="1">
      <c r="A111" s="293"/>
      <c r="B111" s="51"/>
      <c r="C111" s="51"/>
      <c r="D111" s="51"/>
      <c r="E111" s="51"/>
      <c r="F111" s="51"/>
      <c r="G111" s="51"/>
      <c r="H111" s="51"/>
      <c r="I111" s="51"/>
      <c r="J111" s="51"/>
      <c r="K111" s="51"/>
      <c r="L111" s="357">
        <f>SUM($D$110:$L$110)</f>
        <v>610165153</v>
      </c>
      <c r="M111" s="51"/>
      <c r="O111" s="51"/>
    </row>
    <row r="112" spans="1:28" s="50" customFormat="1">
      <c r="A112" s="293"/>
      <c r="B112" s="51"/>
      <c r="C112" s="51"/>
      <c r="D112" s="51"/>
      <c r="E112" s="51"/>
      <c r="F112" s="51"/>
      <c r="G112" s="51"/>
      <c r="H112" s="51"/>
      <c r="I112" s="51"/>
      <c r="J112" s="51" t="s">
        <v>1249</v>
      </c>
      <c r="K112" s="51"/>
      <c r="L112" s="357">
        <f>$M$105</f>
        <v>182232985</v>
      </c>
      <c r="M112" s="51"/>
      <c r="O112" s="51"/>
    </row>
    <row r="113" spans="1:15" s="50" customFormat="1">
      <c r="A113" s="293"/>
      <c r="B113" s="51"/>
      <c r="C113" s="51"/>
      <c r="D113" s="51"/>
      <c r="E113" s="51"/>
      <c r="F113" s="51"/>
      <c r="G113" s="51"/>
      <c r="H113" s="51"/>
      <c r="I113" s="51"/>
      <c r="J113" s="51" t="s">
        <v>1250</v>
      </c>
      <c r="K113" s="51"/>
      <c r="L113" s="143">
        <f>$Q$32</f>
        <v>32547317</v>
      </c>
      <c r="M113" s="51"/>
      <c r="O113" s="51"/>
    </row>
    <row r="114" spans="1:15" s="50" customFormat="1">
      <c r="A114" s="293"/>
      <c r="B114" s="51"/>
      <c r="C114" s="51"/>
      <c r="D114" s="51"/>
      <c r="E114" s="51"/>
      <c r="F114" s="51"/>
      <c r="G114" s="51"/>
      <c r="H114" s="51"/>
      <c r="I114" s="51"/>
      <c r="J114" s="51" t="s">
        <v>1250</v>
      </c>
      <c r="K114" s="51"/>
      <c r="L114" s="143">
        <f>$R$34</f>
        <v>-2736435</v>
      </c>
      <c r="M114" s="51"/>
      <c r="O114" s="51"/>
    </row>
    <row r="115" spans="1:15" s="50" customFormat="1">
      <c r="A115" s="293"/>
      <c r="B115" s="51"/>
      <c r="C115" s="51"/>
      <c r="D115" s="51"/>
      <c r="E115" s="51"/>
      <c r="F115" s="51"/>
      <c r="G115" s="51"/>
      <c r="H115" s="51"/>
      <c r="I115" s="51"/>
      <c r="J115" s="51" t="s">
        <v>27</v>
      </c>
      <c r="K115" s="51"/>
      <c r="L115" s="143">
        <f>SUM($P$65:$P$74)</f>
        <v>5853999</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1002142</v>
      </c>
      <c r="M117" s="51"/>
      <c r="O117" s="51"/>
    </row>
    <row r="118" spans="1:15" s="50" customFormat="1">
      <c r="A118" s="293"/>
      <c r="B118" s="51"/>
      <c r="C118" s="51"/>
      <c r="D118" s="51"/>
      <c r="E118" s="51"/>
      <c r="F118" s="51"/>
      <c r="G118" s="51"/>
      <c r="H118" s="51"/>
      <c r="I118" s="51"/>
      <c r="J118" s="51" t="s">
        <v>608</v>
      </c>
      <c r="K118" s="51"/>
      <c r="L118" s="143">
        <f>SUM($R$65:$R$73)</f>
        <v>87745</v>
      </c>
      <c r="M118" s="51"/>
      <c r="O118" s="51"/>
    </row>
    <row r="119" spans="1:15" s="50" customFormat="1">
      <c r="A119" s="293"/>
      <c r="B119" s="51"/>
      <c r="C119" s="51"/>
      <c r="D119" s="51"/>
      <c r="E119" s="51"/>
      <c r="F119" s="51"/>
      <c r="G119" s="51"/>
      <c r="H119" s="51"/>
      <c r="I119" s="51"/>
      <c r="J119" s="51" t="s">
        <v>182</v>
      </c>
      <c r="K119" s="51"/>
      <c r="L119" s="143">
        <f>SUM($X$65:$X$74)</f>
        <v>208878932</v>
      </c>
      <c r="M119" s="51"/>
      <c r="O119" s="51"/>
    </row>
    <row r="120" spans="1:15" s="50" customFormat="1">
      <c r="A120" s="293"/>
      <c r="B120" s="51"/>
      <c r="C120" s="51"/>
      <c r="D120" s="51"/>
      <c r="E120" s="51"/>
      <c r="F120" s="51"/>
      <c r="G120" s="51"/>
      <c r="H120" s="51"/>
      <c r="I120" s="51"/>
      <c r="J120" s="51" t="s">
        <v>609</v>
      </c>
      <c r="K120" s="51"/>
      <c r="L120" s="143">
        <f>$S$84</f>
        <v>117960091</v>
      </c>
      <c r="M120" s="51"/>
      <c r="O120" s="51"/>
    </row>
    <row r="121" spans="1:15" s="50" customFormat="1">
      <c r="A121" s="293"/>
      <c r="B121" s="51"/>
      <c r="C121" s="51"/>
      <c r="D121" s="51"/>
      <c r="E121" s="51"/>
      <c r="F121" s="51"/>
      <c r="G121" s="51"/>
      <c r="H121" s="51"/>
      <c r="I121" s="51"/>
      <c r="J121" s="51" t="s">
        <v>609</v>
      </c>
      <c r="K121" s="51"/>
      <c r="L121" s="143">
        <f>$S$87</f>
        <v>366464</v>
      </c>
      <c r="M121" s="51"/>
      <c r="O121" s="51"/>
    </row>
    <row r="122" spans="1:15" s="50" customFormat="1">
      <c r="A122" s="293"/>
      <c r="B122" s="51"/>
      <c r="C122" s="51"/>
      <c r="D122" s="51"/>
      <c r="E122" s="51"/>
      <c r="F122" s="51"/>
      <c r="G122" s="51"/>
      <c r="H122" s="51"/>
      <c r="I122" s="51"/>
      <c r="J122" s="51" t="s">
        <v>1255</v>
      </c>
      <c r="K122" s="51"/>
      <c r="L122" s="935">
        <f>VLOOKUP(B2,Names!$B$10:$C$88,2,FALSE)</f>
        <v>130</v>
      </c>
      <c r="M122" s="51"/>
      <c r="O122" s="51"/>
    </row>
    <row r="123" spans="1:15">
      <c r="L123" s="486">
        <f>SUM($L$111:$L$122)</f>
        <v>1156358523</v>
      </c>
    </row>
  </sheetData>
  <mergeCells count="27">
    <mergeCell ref="Q76:R76"/>
    <mergeCell ref="P105:V106"/>
    <mergeCell ref="P82:S82"/>
    <mergeCell ref="P100:V100"/>
    <mergeCell ref="P103:Q103"/>
    <mergeCell ref="R103:S103"/>
    <mergeCell ref="U103:V103"/>
    <mergeCell ref="B2:G2"/>
    <mergeCell ref="O61:O64"/>
    <mergeCell ref="P61:P64"/>
    <mergeCell ref="Q61:Q64"/>
    <mergeCell ref="R61:R64"/>
    <mergeCell ref="P10:P11"/>
    <mergeCell ref="B3:F3"/>
    <mergeCell ref="B4:F4"/>
    <mergeCell ref="O19:S19"/>
    <mergeCell ref="B6:M6"/>
    <mergeCell ref="P4:Q4"/>
    <mergeCell ref="O60:S60"/>
    <mergeCell ref="G64:K64"/>
    <mergeCell ref="S61:S64"/>
    <mergeCell ref="U61:U64"/>
    <mergeCell ref="W60:Y60"/>
    <mergeCell ref="X61:X64"/>
    <mergeCell ref="Y61:Y64"/>
    <mergeCell ref="U19:Y19"/>
    <mergeCell ref="W61:W64"/>
  </mergeCells>
  <conditionalFormatting sqref="D99:M99 D98:L98">
    <cfRule type="cellIs" dxfId="282" priority="66" stopIfTrue="1" operator="notEqual">
      <formula>#REF!</formula>
    </cfRule>
  </conditionalFormatting>
  <conditionalFormatting sqref="M77">
    <cfRule type="cellIs" dxfId="281" priority="65" stopIfTrue="1" operator="notEqual">
      <formula>SUM($M$65:$M$76)</formula>
    </cfRule>
  </conditionalFormatting>
  <conditionalFormatting sqref="M89">
    <cfRule type="cellIs" dxfId="280" priority="64" stopIfTrue="1" operator="notEqual">
      <formula>SUM($M$87:$M$88)</formula>
    </cfRule>
  </conditionalFormatting>
  <conditionalFormatting sqref="M84">
    <cfRule type="cellIs" dxfId="279" priority="63" stopIfTrue="1" operator="notEqual">
      <formula>SUM($M$80:$M$83)</formula>
    </cfRule>
  </conditionalFormatting>
  <conditionalFormatting sqref="M62">
    <cfRule type="cellIs" dxfId="278" priority="59" stopIfTrue="1" operator="notEqual">
      <formula>SUM($M$56:$M$61)</formula>
    </cfRule>
  </conditionalFormatting>
  <conditionalFormatting sqref="M15">
    <cfRule type="cellIs" dxfId="277" priority="58" stopIfTrue="1" operator="notEqual">
      <formula>SUM($M$10:$M$14)</formula>
    </cfRule>
  </conditionalFormatting>
  <conditionalFormatting sqref="R99:S102 X95:AB102 U93:W100 T95:T102 O93:O100 P94:P101 Q93:Q100 S95:S98 R95:R97 D99:M99 D98:L98">
    <cfRule type="cellIs" dxfId="276" priority="57" stopIfTrue="1" operator="notEqual">
      <formula>#REF!</formula>
    </cfRule>
  </conditionalFormatting>
  <conditionalFormatting sqref="G64:K64">
    <cfRule type="expression" dxfId="275" priority="40">
      <formula>$R$98&lt;&gt;0</formula>
    </cfRule>
    <cfRule type="expression" dxfId="274" priority="41">
      <formula>$T$93&gt;0</formula>
    </cfRule>
  </conditionalFormatting>
  <conditionalFormatting sqref="O11:P11">
    <cfRule type="expression" dxfId="273" priority="39">
      <formula>#REF!&lt;&gt;$N$11</formula>
    </cfRule>
  </conditionalFormatting>
  <conditionalFormatting sqref="O13">
    <cfRule type="expression" dxfId="272" priority="38">
      <formula>$Q$13&lt;&gt;$N$13</formula>
    </cfRule>
  </conditionalFormatting>
  <conditionalFormatting sqref="O12">
    <cfRule type="expression" dxfId="271" priority="37">
      <formula>$Q$12&lt;&gt;$N$12</formula>
    </cfRule>
  </conditionalFormatting>
  <conditionalFormatting sqref="S91">
    <cfRule type="expression" priority="35" stopIfTrue="1">
      <formula>$N$91&lt;0</formula>
    </cfRule>
    <cfRule type="expression" dxfId="270" priority="36">
      <formula>$T$91&lt;&gt;0</formula>
    </cfRule>
  </conditionalFormatting>
  <conditionalFormatting sqref="S84 S87">
    <cfRule type="expression" dxfId="269" priority="33" stopIfTrue="1">
      <formula>$M$91&gt;=0</formula>
    </cfRule>
    <cfRule type="expression" priority="34">
      <formula>$M$91&lt;0</formula>
    </cfRule>
  </conditionalFormatting>
  <conditionalFormatting sqref="U100:V100 R102 U101 P100:P101 Q100:R100 S100:T102 S105:U106">
    <cfRule type="cellIs" dxfId="268" priority="32" stopIfTrue="1" operator="notEqual">
      <formula>#REF!</formula>
    </cfRule>
  </conditionalFormatting>
  <conditionalFormatting sqref="P76">
    <cfRule type="expression" dxfId="267" priority="30">
      <formula>$P$75&lt;&gt;$M$75</formula>
    </cfRule>
  </conditionalFormatting>
  <conditionalFormatting sqref="Y78">
    <cfRule type="expression" dxfId="266" priority="29">
      <formula>$Y$77&lt;&gt;0</formula>
    </cfRule>
  </conditionalFormatting>
  <conditionalFormatting sqref="Q36">
    <cfRule type="expression" dxfId="265" priority="25">
      <formula>#REF!&lt;&gt;#REF!</formula>
    </cfRule>
  </conditionalFormatting>
  <conditionalFormatting sqref="R35">
    <cfRule type="expression" dxfId="264" priority="24">
      <formula>#REF!&lt;&gt;0</formula>
    </cfRule>
  </conditionalFormatting>
  <conditionalFormatting sqref="Q35">
    <cfRule type="expression" dxfId="263" priority="23">
      <formula>#REF!&lt;&gt;0</formula>
    </cfRule>
  </conditionalFormatting>
  <conditionalFormatting sqref="R36">
    <cfRule type="expression" dxfId="262" priority="22">
      <formula>#REF!&lt;&gt;#REF!</formula>
    </cfRule>
  </conditionalFormatting>
  <conditionalFormatting sqref="D99:M99 D98:L98">
    <cfRule type="cellIs" dxfId="261" priority="21" stopIfTrue="1" operator="notEqual">
      <formula>#REF!</formula>
    </cfRule>
  </conditionalFormatting>
  <conditionalFormatting sqref="M77">
    <cfRule type="cellIs" dxfId="260" priority="20" stopIfTrue="1" operator="notEqual">
      <formula>SUM($M$65:$M$76)</formula>
    </cfRule>
  </conditionalFormatting>
  <conditionalFormatting sqref="M89">
    <cfRule type="cellIs" dxfId="259" priority="19" stopIfTrue="1" operator="notEqual">
      <formula>SUM($M$87:$M$88)</formula>
    </cfRule>
  </conditionalFormatting>
  <conditionalFormatting sqref="M84">
    <cfRule type="cellIs" dxfId="258" priority="18" stopIfTrue="1" operator="notEqual">
      <formula>SUM($M$80:$M$83)</formula>
    </cfRule>
  </conditionalFormatting>
  <conditionalFormatting sqref="M62">
    <cfRule type="cellIs" dxfId="257" priority="17" stopIfTrue="1" operator="notEqual">
      <formula>SUM($M$56:$M$61)</formula>
    </cfRule>
  </conditionalFormatting>
  <conditionalFormatting sqref="M15">
    <cfRule type="cellIs" dxfId="256" priority="16" stopIfTrue="1" operator="notEqual">
      <formula>SUM($M$10:$M$14)</formula>
    </cfRule>
  </conditionalFormatting>
  <conditionalFormatting sqref="D98:L98">
    <cfRule type="cellIs" dxfId="255" priority="15" stopIfTrue="1" operator="notEqual">
      <formula>#REF!</formula>
    </cfRule>
  </conditionalFormatting>
  <conditionalFormatting sqref="G64:K64">
    <cfRule type="expression" dxfId="254" priority="14">
      <formula>$R$98&lt;&gt;0</formula>
    </cfRule>
  </conditionalFormatting>
  <conditionalFormatting sqref="O11:P11">
    <cfRule type="expression" dxfId="253" priority="13">
      <formula>#REF!&lt;&gt;$N$11</formula>
    </cfRule>
  </conditionalFormatting>
  <conditionalFormatting sqref="O13">
    <cfRule type="expression" dxfId="252" priority="12">
      <formula>$Q$13&lt;&gt;$N$13</formula>
    </cfRule>
  </conditionalFormatting>
  <conditionalFormatting sqref="O12">
    <cfRule type="expression" dxfId="251" priority="11">
      <formula>$Q$12&lt;&gt;$N$12</formula>
    </cfRule>
  </conditionalFormatting>
  <conditionalFormatting sqref="S91">
    <cfRule type="expression" priority="9" stopIfTrue="1">
      <formula>$N$91&lt;0</formula>
    </cfRule>
    <cfRule type="expression" dxfId="250" priority="10">
      <formula>$T$91&lt;&gt;0</formula>
    </cfRule>
  </conditionalFormatting>
  <conditionalFormatting sqref="S84 S87">
    <cfRule type="expression" dxfId="249" priority="7" stopIfTrue="1">
      <formula>$M$91&gt;=0</formula>
    </cfRule>
    <cfRule type="expression" priority="8">
      <formula>$M$91&lt;0</formula>
    </cfRule>
  </conditionalFormatting>
  <conditionalFormatting sqref="U100:V100 R102 U101 P100:P101 Q100:R100 S100:T102 S105:U106">
    <cfRule type="cellIs" dxfId="248" priority="6" stopIfTrue="1" operator="notEqual">
      <formula>#REF!</formula>
    </cfRule>
  </conditionalFormatting>
  <conditionalFormatting sqref="P76">
    <cfRule type="expression" dxfId="247" priority="5">
      <formula>$P$75&lt;&gt;$M$75</formula>
    </cfRule>
  </conditionalFormatting>
  <conditionalFormatting sqref="Y78">
    <cfRule type="expression" dxfId="246" priority="4">
      <formula>$Y$77&lt;&gt;0</formula>
    </cfRule>
  </conditionalFormatting>
  <conditionalFormatting sqref="Q36:R36">
    <cfRule type="expression" dxfId="245" priority="3">
      <formula>#REF!&lt;&gt;#REF!</formula>
    </cfRule>
  </conditionalFormatting>
  <conditionalFormatting sqref="R35">
    <cfRule type="expression" dxfId="244" priority="2">
      <formula>#REF!&lt;&gt;0</formula>
    </cfRule>
  </conditionalFormatting>
  <conditionalFormatting sqref="Q35">
    <cfRule type="expression" dxfId="243"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1.85546875" style="53" customWidth="1"/>
    <col min="11" max="16384" width="9.140625" style="53"/>
  </cols>
  <sheetData>
    <row r="1" spans="1:7">
      <c r="B1" s="386" t="str">
        <f>'UNTHSC Chts'!$A$1</f>
        <v>University of North Texas Health Science Center at Fort Worth</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IF('UNTHSC FGD'!$S$83="N/A","FN11.  N/A",$B$14&amp;$B$15&amp;$B$16&amp;$B$17&amp;$B$18&amp;$B$19&amp;$B$20&amp;$B$21&amp;$B$22&amp;$B$23&amp;$B$24)</f>
        <v>FN11: Of the net increase of $118,326,555 approximately $118.0 million represents revenues received but not year expended. This income is fully committed to program expenditures and capital disbursements. The remaining $366 thousand represents non-expendable funds from unrealized gains and additions to permanent endowments of approximately $366 thousand and $0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TEXT(IF('UNTHSC FGD'!$M$91&lt;0,"N/A",'UNTHSC FGD'!$M$91),"$* #,##0;$* (#,##0)")</f>
        <v>$118,326,555</v>
      </c>
      <c r="C15" s="453"/>
      <c r="F15" s="453"/>
      <c r="G15" s="54"/>
    </row>
    <row r="16" spans="1:7">
      <c r="B16" s="54" t="s">
        <v>611</v>
      </c>
    </row>
    <row r="17" spans="1:6">
      <c r="A17" s="53">
        <v>68</v>
      </c>
      <c r="B17" s="489" t="str">
        <f>IF(ABS('UNTHSC FGD'!$S$84)&gt;=1000000,TEXT('UNTHSC FGD'!$S$84/1000000,"$* #,##0.0;$* (#,##0.0)")&amp;" million",IF(ABS('UNTHSC FGD'!$S$84)&lt;1000,TEXT('UNTHSC FGD'!$S$84,"$* #,##0;$* (#,##0)"),TEXT('UNTHSC FGD'!$S$84/1000,"$* #,##0;$* (#,##0)")&amp;" thousand"))</f>
        <v>$118.0 million</v>
      </c>
      <c r="C17" s="489"/>
      <c r="F17" s="489"/>
    </row>
    <row r="18" spans="1:6">
      <c r="B18" s="54" t="s">
        <v>627</v>
      </c>
    </row>
    <row r="19" spans="1:6">
      <c r="A19" s="53">
        <v>69</v>
      </c>
      <c r="B19" s="53" t="str">
        <f>IF(ABS('UNTHSC FGD'!$S$85)&gt;=1000000,TEXT('UNTHSC FGD'!$S$85/1000000,"$* #,##0.0;$* (#,##0.0)")&amp;" million",IF(ABS('UNTHSC FGD'!$S$85)&lt;1000,TEXT('UNTHSC FGD'!$S$85,"$* #,##0;$* (#,##0)"),TEXT('UNTHSC FGD'!$S$85/1000,"$* #,##0;$* (#,##0)")&amp;" thousand"))</f>
        <v>$366 thousand</v>
      </c>
    </row>
    <row r="20" spans="1:6">
      <c r="B20" s="54" t="s">
        <v>612</v>
      </c>
    </row>
    <row r="21" spans="1:6">
      <c r="A21" s="53">
        <v>71</v>
      </c>
      <c r="B21" s="53" t="str">
        <f>IF(ABS('UNTHSC FGD'!$S$87)&gt;=1000000,TEXT('UNTHSC FGD'!$S$87/1000000,"$* #,##0.0;$* (#,##0.0)")&amp;" million",IF(ABS('UNTHSC FGD'!$S$87)&lt;1000,TEXT('UNTHSC FGD'!$S$87,"$* #,##0;$* (#,##0)"),TEXT('UNTHSC FGD'!$S$87/1000,"$* #,##0;$* (#,##0)")&amp;" thousand"))</f>
        <v>$366 thousand</v>
      </c>
    </row>
    <row r="22" spans="1:6">
      <c r="B22" s="54" t="s">
        <v>613</v>
      </c>
    </row>
    <row r="23" spans="1:6">
      <c r="A23" s="53">
        <v>73</v>
      </c>
      <c r="B23" s="53" t="str">
        <f>IF(ABS('UNTHSC FGD'!$S$89)&gt;=1000000,TEXT('UNTHSC FGD'!$S$89/1000000,"$* #,##0.0;$* (#,##0.0)")&amp;" million",IF(ABS('UNTHSC FGD'!$S$89)&lt;1000,TEXT('UNTHSC FGD'!$S$89,"$* #,##0;$* (#,##0)"),TEXT('UNTHSC FGD'!$S$89/1000,"$* #,##0;$* (#,##0)")&amp;" thousand"))</f>
        <v>$0</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106</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'TTUHSC Sum'!A9</f>
        <v>State of Texas</v>
      </c>
      <c r="D11" s="61">
        <f>'TTUHSC Sum'!B15</f>
        <v>201620004</v>
      </c>
      <c r="E11" s="673">
        <f>ROUND(D11/$D$17,3)</f>
        <v>0.29299999999999998</v>
      </c>
    </row>
    <row r="12" spans="1:5" ht="12.95" customHeight="1">
      <c r="B12" s="56"/>
      <c r="C12" s="60" t="str">
        <f>'TTUHSC Sum'!A17</f>
        <v>Student &amp; Parent</v>
      </c>
      <c r="D12" s="61">
        <f>'TTUHSC Sum'!B20</f>
        <v>51990811</v>
      </c>
      <c r="E12" s="673">
        <f t="shared" ref="E12:E15" si="0">ROUND(D12/$D$17,3)</f>
        <v>7.4999999999999997E-2</v>
      </c>
    </row>
    <row r="13" spans="1:5" ht="12.95" customHeight="1">
      <c r="B13" s="56"/>
      <c r="C13" s="60" t="str">
        <f>'TTUHSC Sum'!A22</f>
        <v>Federal Government</v>
      </c>
      <c r="D13" s="61">
        <f>'TTUHSC Sum'!B23</f>
        <v>19599396</v>
      </c>
      <c r="E13" s="673">
        <f t="shared" si="0"/>
        <v>2.8000000000000001E-2</v>
      </c>
    </row>
    <row r="14" spans="1:5" ht="12.95" customHeight="1">
      <c r="B14" s="56"/>
      <c r="C14" s="60" t="str">
        <f>'TTUHSC Sum'!A31</f>
        <v>Institutional Resources</v>
      </c>
      <c r="D14" s="61">
        <f>'TTUHSC Sum'!B38</f>
        <v>193974266</v>
      </c>
      <c r="E14" s="673">
        <f t="shared" si="0"/>
        <v>0.28199999999999997</v>
      </c>
    </row>
    <row r="15" spans="1:5" ht="12.95" customHeight="1">
      <c r="B15" s="56"/>
      <c r="C15" s="62" t="s">
        <v>58</v>
      </c>
      <c r="D15" s="61">
        <f>'TTUHSC Sum'!B29+'TTUHSC Sum'!B26</f>
        <v>221537779</v>
      </c>
      <c r="E15" s="673">
        <f t="shared" si="0"/>
        <v>0.32200000000000001</v>
      </c>
    </row>
    <row r="16" spans="1:5" ht="12.95" customHeight="1">
      <c r="B16" s="56"/>
      <c r="C16" s="58"/>
      <c r="D16" s="59"/>
    </row>
    <row r="17" spans="1:5" ht="12.95" customHeight="1">
      <c r="B17" s="56"/>
      <c r="C17" s="63" t="s">
        <v>71</v>
      </c>
      <c r="D17" s="64">
        <f>SUM(D11:D16)</f>
        <v>688722256</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$688,722,256</v>
      </c>
    </row>
    <row r="48" spans="1:1" ht="12.95" customHeight="1">
      <c r="A48" s="1241"/>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'TTUHSC Sum'!B10</f>
        <v>166507267</v>
      </c>
      <c r="E53" s="673">
        <f>ROUND(D53/$D$68,3)</f>
        <v>0.24199999999999999</v>
      </c>
    </row>
    <row r="54" spans="1:5" ht="12.95" customHeight="1">
      <c r="C54" s="60" t="s">
        <v>76</v>
      </c>
      <c r="D54" s="61">
        <f>'TTUHSC Sum'!B11</f>
        <v>11740341</v>
      </c>
      <c r="E54" s="673">
        <f t="shared" ref="E54:E67" si="1">ROUND(D54/$D$68,3)</f>
        <v>1.7000000000000001E-2</v>
      </c>
    </row>
    <row r="55" spans="1:5" ht="12.95" customHeight="1">
      <c r="C55" s="907"/>
      <c r="D55" s="61"/>
      <c r="E55" s="673"/>
    </row>
    <row r="56" spans="1:5" ht="12.95" customHeight="1">
      <c r="C56" s="60" t="str">
        <f>'TTUHSC Sum'!A13</f>
        <v>Higher Education Fund</v>
      </c>
      <c r="D56" s="61">
        <f>'TTUHSC Sum'!B13</f>
        <v>23372396</v>
      </c>
      <c r="E56" s="673">
        <f t="shared" si="1"/>
        <v>3.4000000000000002E-2</v>
      </c>
    </row>
    <row r="57" spans="1:5" ht="12.95" customHeight="1">
      <c r="C57" s="907" t="s">
        <v>39</v>
      </c>
      <c r="D57" s="61">
        <f>'TTUHSC Sum'!B14</f>
        <v>0</v>
      </c>
      <c r="E57" s="673">
        <f t="shared" si="1"/>
        <v>0</v>
      </c>
    </row>
    <row r="58" spans="1:5" ht="12.95" customHeight="1">
      <c r="C58" s="60" t="s">
        <v>77</v>
      </c>
      <c r="D58" s="61">
        <f>'TTUHSC Sum'!B20</f>
        <v>51990811</v>
      </c>
      <c r="E58" s="673">
        <f t="shared" si="1"/>
        <v>7.4999999999999997E-2</v>
      </c>
    </row>
    <row r="59" spans="1:5" ht="12.95" customHeight="1">
      <c r="C59" s="66" t="s">
        <v>78</v>
      </c>
      <c r="D59" s="61">
        <f>'TTUHSC Sum'!B23</f>
        <v>19599396</v>
      </c>
      <c r="E59" s="673">
        <f t="shared" si="1"/>
        <v>2.8000000000000001E-2</v>
      </c>
    </row>
    <row r="60" spans="1:5" ht="12.95" customHeight="1">
      <c r="C60" s="60" t="s">
        <v>79</v>
      </c>
      <c r="D60" s="61">
        <f>'TTUHSC Sum'!B32</f>
        <v>12689174</v>
      </c>
      <c r="E60" s="673">
        <f t="shared" si="1"/>
        <v>1.7999999999999999E-2</v>
      </c>
    </row>
    <row r="61" spans="1:5" ht="12.95" customHeight="1">
      <c r="C61" s="60" t="s">
        <v>198</v>
      </c>
      <c r="D61" s="61">
        <f>'TTUHSC Sum'!B33</f>
        <v>58927560</v>
      </c>
      <c r="E61" s="673">
        <f t="shared" si="1"/>
        <v>8.5999999999999993E-2</v>
      </c>
    </row>
    <row r="62" spans="1:5" ht="12.95" customHeight="1">
      <c r="C62" s="60" t="s">
        <v>80</v>
      </c>
      <c r="D62" s="61">
        <f>'TTUHSC Sum'!B34</f>
        <v>87600256</v>
      </c>
      <c r="E62" s="673">
        <f t="shared" si="1"/>
        <v>0.127</v>
      </c>
    </row>
    <row r="63" spans="1:5" ht="12.95" customHeight="1">
      <c r="C63" s="60" t="s">
        <v>81</v>
      </c>
      <c r="D63" s="61">
        <f>'TTUHSC Sum'!B35</f>
        <v>11084298</v>
      </c>
      <c r="E63" s="673">
        <f t="shared" si="1"/>
        <v>1.6E-2</v>
      </c>
    </row>
    <row r="64" spans="1:5" ht="12.95" customHeight="1">
      <c r="C64" s="60" t="s">
        <v>12</v>
      </c>
      <c r="D64" s="61">
        <f>'TTUHSC Sum'!B36</f>
        <v>828063</v>
      </c>
      <c r="E64" s="673">
        <f t="shared" si="1"/>
        <v>1E-3</v>
      </c>
    </row>
    <row r="65" spans="1:5" ht="12.95" customHeight="1">
      <c r="C65" s="66" t="s">
        <v>48</v>
      </c>
      <c r="D65" s="61">
        <f>'TTUHSC Sum'!B37</f>
        <v>22844915</v>
      </c>
      <c r="E65" s="673">
        <f t="shared" si="1"/>
        <v>3.3000000000000002E-2</v>
      </c>
    </row>
    <row r="66" spans="1:5" ht="12.95" customHeight="1">
      <c r="C66" s="66" t="s">
        <v>57</v>
      </c>
      <c r="D66" s="61">
        <f>'TTUHSC Sum'!B26</f>
        <v>221537779</v>
      </c>
      <c r="E66" s="673">
        <f t="shared" si="1"/>
        <v>0.32200000000000001</v>
      </c>
    </row>
    <row r="67" spans="1:5" ht="12.95" customHeight="1">
      <c r="C67" s="912" t="s">
        <v>58</v>
      </c>
      <c r="D67" s="61">
        <f>'TTUHSC Sum'!B29</f>
        <v>0</v>
      </c>
      <c r="E67" s="673">
        <f t="shared" si="1"/>
        <v>0</v>
      </c>
    </row>
    <row r="68" spans="1:5" ht="12.95" customHeight="1">
      <c r="C68" s="63" t="s">
        <v>71</v>
      </c>
      <c r="D68" s="64">
        <f>SUM(D53:D67)</f>
        <v>688722256</v>
      </c>
      <c r="E68" s="674">
        <f>SUM(E53:E67)</f>
        <v>0.99900000000000011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$688,722,256</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'TTUHSC Sum'!B42</f>
        <v>202142878</v>
      </c>
      <c r="E102" s="673">
        <f>ROUND(D102/$D$115,3)</f>
        <v>0.313</v>
      </c>
    </row>
    <row r="103" spans="1:5" ht="12.95" customHeight="1">
      <c r="C103" s="68" t="s">
        <v>15</v>
      </c>
      <c r="D103" s="61">
        <f>'TTUHSC Sum'!B43</f>
        <v>33937168</v>
      </c>
      <c r="E103" s="673">
        <f t="shared" ref="E103:E113" si="2">ROUND(D103/$D$115,3)</f>
        <v>5.2999999999999999E-2</v>
      </c>
    </row>
    <row r="104" spans="1:5" ht="12.95" customHeight="1">
      <c r="C104" s="68" t="s">
        <v>16</v>
      </c>
      <c r="D104" s="61">
        <f>'TTUHSC Sum'!B44</f>
        <v>132045671</v>
      </c>
      <c r="E104" s="673">
        <f t="shared" si="2"/>
        <v>0.20499999999999999</v>
      </c>
    </row>
    <row r="105" spans="1:5" ht="12.95" customHeight="1">
      <c r="C105" s="68" t="s">
        <v>17</v>
      </c>
      <c r="D105" s="61">
        <f>'TTUHSC Sum'!B46</f>
        <v>118813442</v>
      </c>
      <c r="E105" s="673">
        <f t="shared" si="2"/>
        <v>0.184</v>
      </c>
    </row>
    <row r="106" spans="1:5" ht="12.95" customHeight="1">
      <c r="C106" s="68" t="s">
        <v>18</v>
      </c>
      <c r="D106" s="61">
        <f>'TTUHSC Sum'!B47</f>
        <v>15181835</v>
      </c>
      <c r="E106" s="673">
        <f t="shared" si="2"/>
        <v>2.4E-2</v>
      </c>
    </row>
    <row r="107" spans="1:5" ht="12.95" customHeight="1">
      <c r="C107" s="68" t="s">
        <v>19</v>
      </c>
      <c r="D107" s="61">
        <f>'TTUHSC Sum'!B48</f>
        <v>29372793</v>
      </c>
      <c r="E107" s="673">
        <f t="shared" si="2"/>
        <v>4.5999999999999999E-2</v>
      </c>
    </row>
    <row r="108" spans="1:5" ht="12.95" customHeight="1">
      <c r="C108" s="68" t="s">
        <v>82</v>
      </c>
      <c r="D108" s="61">
        <f>'TTUHSC Sum'!B49</f>
        <v>27095077</v>
      </c>
      <c r="E108" s="673">
        <f t="shared" si="2"/>
        <v>4.2000000000000003E-2</v>
      </c>
    </row>
    <row r="109" spans="1:5" ht="12.95" customHeight="1">
      <c r="C109" s="68" t="s">
        <v>83</v>
      </c>
      <c r="D109" s="61">
        <f>'TTUHSC Sum'!B50</f>
        <v>3308985</v>
      </c>
      <c r="E109" s="673">
        <f t="shared" si="2"/>
        <v>5.0000000000000001E-3</v>
      </c>
    </row>
    <row r="110" spans="1:5" ht="12.95" customHeight="1">
      <c r="C110" s="68" t="s">
        <v>22</v>
      </c>
      <c r="D110" s="61">
        <f>'TTUHSC Sum'!B51</f>
        <v>456145</v>
      </c>
      <c r="E110" s="673">
        <f t="shared" si="2"/>
        <v>1E-3</v>
      </c>
    </row>
    <row r="111" spans="1:5" ht="12.95" customHeight="1">
      <c r="C111" s="68" t="s">
        <v>27</v>
      </c>
      <c r="D111" s="61">
        <f>'TTUHSC Sum'!B52</f>
        <v>4050982</v>
      </c>
      <c r="E111" s="673">
        <f t="shared" si="2"/>
        <v>6.0000000000000001E-3</v>
      </c>
    </row>
    <row r="112" spans="1:5" ht="12.95" customHeight="1">
      <c r="C112" s="66" t="s">
        <v>49</v>
      </c>
      <c r="D112" s="61">
        <f>'TTUHSC Sum'!B53</f>
        <v>488877</v>
      </c>
      <c r="E112" s="673">
        <f t="shared" si="2"/>
        <v>1E-3</v>
      </c>
    </row>
    <row r="113" spans="3:5" ht="12.95" customHeight="1">
      <c r="C113" s="62" t="s">
        <v>84</v>
      </c>
      <c r="D113" s="61">
        <f>'TTUHSC Sum'!B45</f>
        <v>78308297</v>
      </c>
      <c r="E113" s="673">
        <f t="shared" si="2"/>
        <v>0.121</v>
      </c>
    </row>
    <row r="114" spans="3:5" ht="12.95" customHeight="1">
      <c r="C114" s="58"/>
      <c r="D114" s="58"/>
      <c r="E114" s="674"/>
    </row>
    <row r="115" spans="3:5" ht="12.95" customHeight="1">
      <c r="C115" s="70" t="s">
        <v>72</v>
      </c>
      <c r="D115" s="64">
        <f>SUM(D102:D114)</f>
        <v>645202150</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$645,202,150</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'TTUHSC Chts'!$A$1</f>
        <v>Texas Tech University Health Sciences Center</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412</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5735.93</v>
      </c>
      <c r="J6" s="643"/>
      <c r="O6" s="51"/>
    </row>
    <row r="7" spans="1:15">
      <c r="B7" s="79"/>
      <c r="C7" s="5"/>
      <c r="I7" s="683" t="s">
        <v>1114</v>
      </c>
      <c r="J7" s="684"/>
      <c r="O7" s="51"/>
    </row>
    <row r="8" spans="1:15">
      <c r="A8" s="81" t="s">
        <v>74</v>
      </c>
      <c r="B8" s="81"/>
      <c r="C8" s="15"/>
      <c r="I8" s="685">
        <f>VLOOKUP($G$2,FTSELU,11,FALSE)</f>
        <v>762.67</v>
      </c>
      <c r="J8" s="643"/>
      <c r="O8" s="51"/>
    </row>
    <row r="9" spans="1:15" ht="12.75" customHeight="1" thickBot="1">
      <c r="A9" s="78" t="s">
        <v>0</v>
      </c>
      <c r="B9" s="82"/>
      <c r="C9" s="8"/>
      <c r="J9" s="643"/>
      <c r="O9" s="51"/>
    </row>
    <row r="10" spans="1:15" ht="12.75" customHeight="1" thickTop="1">
      <c r="A10" s="74" t="s">
        <v>1108</v>
      </c>
      <c r="B10" s="83">
        <f>'TTUHSC FGD'!M10</f>
        <v>166507267</v>
      </c>
      <c r="C10" s="83">
        <f>ROUND(B10/$C$6,0)</f>
        <v>29029</v>
      </c>
      <c r="D10" s="143">
        <f>'TTUHSC FGD'!F10</f>
        <v>0</v>
      </c>
      <c r="E10" s="143"/>
      <c r="F10" s="84">
        <f>B10-(SUM(D10:E10))</f>
        <v>166507267</v>
      </c>
      <c r="G10" s="980" t="s">
        <v>1</v>
      </c>
      <c r="H10" s="981"/>
      <c r="I10" s="686" t="s">
        <v>1115</v>
      </c>
      <c r="J10" s="644">
        <f>ROUND(F10/$C$6,0)</f>
        <v>29029</v>
      </c>
      <c r="O10" s="51"/>
    </row>
    <row r="11" spans="1:15" ht="12.75" customHeight="1" thickBot="1">
      <c r="A11" s="74" t="s">
        <v>2</v>
      </c>
      <c r="B11" s="86">
        <f>'TTUHSC FGD'!M11</f>
        <v>11740341</v>
      </c>
      <c r="C11" s="86">
        <f t="shared" ref="C11:C14" si="0">ROUND(B11/$C$6,0)</f>
        <v>2047</v>
      </c>
      <c r="D11" s="284">
        <f>'TTUHSC FGD'!F11</f>
        <v>0</v>
      </c>
      <c r="E11" s="73"/>
      <c r="F11" s="566">
        <f t="shared" ref="F11:F14" si="1">B11-(SUM(D11:E11))</f>
        <v>11740341</v>
      </c>
      <c r="G11" s="987">
        <f>SUM(F10:F11)</f>
        <v>178247608</v>
      </c>
      <c r="H11" s="777"/>
      <c r="I11" s="791">
        <f>ROUND($G$11/$C$6,0)</f>
        <v>31076</v>
      </c>
      <c r="J11" s="645">
        <f t="shared" ref="J11:J14" si="2">ROUND(F11/$C$6,0)</f>
        <v>2047</v>
      </c>
      <c r="O11" s="51"/>
    </row>
    <row r="12" spans="1:15" ht="12.75" hidden="1" customHeight="1" thickTop="1" thickBot="1">
      <c r="A12" s="74" t="s">
        <v>1345</v>
      </c>
      <c r="B12" s="86"/>
      <c r="C12" s="86"/>
      <c r="D12" s="284"/>
      <c r="E12" s="73"/>
      <c r="F12" s="567"/>
      <c r="J12" s="645"/>
      <c r="O12" s="568"/>
    </row>
    <row r="13" spans="1:15" ht="12.75" customHeight="1" thickTop="1">
      <c r="A13" s="74" t="s">
        <v>1298</v>
      </c>
      <c r="B13" s="86">
        <f>'TTUHSC FGD'!M13</f>
        <v>23372396</v>
      </c>
      <c r="C13" s="86">
        <f t="shared" si="0"/>
        <v>4075</v>
      </c>
      <c r="D13" s="284">
        <f>'TTUHSC FGD'!F13</f>
        <v>0</v>
      </c>
      <c r="E13" s="73"/>
      <c r="F13" s="786">
        <f t="shared" si="1"/>
        <v>23372396</v>
      </c>
      <c r="G13" s="780" t="s">
        <v>86</v>
      </c>
      <c r="H13" s="787"/>
      <c r="I13" s="731" t="s">
        <v>1116</v>
      </c>
      <c r="J13" s="645">
        <f t="shared" si="2"/>
        <v>4075</v>
      </c>
      <c r="O13" s="51"/>
    </row>
    <row r="14" spans="1:15" ht="12.75" customHeight="1" thickBot="1">
      <c r="A14" s="74" t="s">
        <v>46</v>
      </c>
      <c r="B14" s="86">
        <f>'TTUHSC FGD'!M14</f>
        <v>0</v>
      </c>
      <c r="C14" s="86">
        <f t="shared" si="0"/>
        <v>0</v>
      </c>
      <c r="D14" s="284">
        <f>'TTUHSC FGD'!F14</f>
        <v>0</v>
      </c>
      <c r="E14" s="73"/>
      <c r="F14" s="567">
        <f t="shared" si="1"/>
        <v>0</v>
      </c>
      <c r="G14" s="687">
        <f>SUM(F13:F14)</f>
        <v>23372396</v>
      </c>
      <c r="H14" s="788"/>
      <c r="I14" s="792">
        <f>ROUND($G$11/$I$8,0)</f>
        <v>233715</v>
      </c>
      <c r="J14" s="689">
        <f t="shared" si="2"/>
        <v>0</v>
      </c>
      <c r="O14" s="51"/>
    </row>
    <row r="15" spans="1:15" ht="12.75" customHeight="1" thickTop="1">
      <c r="A15" s="87" t="s">
        <v>3</v>
      </c>
      <c r="B15" s="88">
        <f>SUM(B10:B14)</f>
        <v>201620004</v>
      </c>
      <c r="C15" s="88">
        <f>SUM(C10:C14)</f>
        <v>35151</v>
      </c>
      <c r="D15" s="88">
        <f>SUM(D10:D14)</f>
        <v>0</v>
      </c>
      <c r="E15" s="88">
        <f>SUM(E10:E14)</f>
        <v>0</v>
      </c>
      <c r="F15" s="646">
        <f>SUM(F10:F14)</f>
        <v>201620004</v>
      </c>
      <c r="I15" s="785"/>
      <c r="J15" s="669">
        <f>SUM(J10:J14)</f>
        <v>35151</v>
      </c>
      <c r="O15" s="51"/>
    </row>
    <row r="16" spans="1:15">
      <c r="C16" s="74"/>
      <c r="J16" s="643"/>
      <c r="O16" s="51"/>
    </row>
    <row r="17" spans="1:15" ht="12.75" customHeight="1">
      <c r="A17" s="78" t="s">
        <v>4</v>
      </c>
      <c r="C17" s="74"/>
      <c r="J17" s="643"/>
      <c r="O17" s="51"/>
    </row>
    <row r="18" spans="1:15">
      <c r="A18" s="74" t="s">
        <v>37</v>
      </c>
      <c r="B18" s="83">
        <f>'TTUHSC FGD'!M29</f>
        <v>38780067</v>
      </c>
      <c r="C18" s="83">
        <f t="shared" ref="C18:C19" si="3">ROUND(B18/$C$6,0)</f>
        <v>6761</v>
      </c>
      <c r="D18" s="143">
        <f>'TTUHSC FGD'!$F$29</f>
        <v>0</v>
      </c>
      <c r="E18" s="143"/>
      <c r="F18" s="143">
        <f t="shared" ref="F18:F19" si="4">B18-(SUM(D18:E18))</f>
        <v>38780067</v>
      </c>
      <c r="G18" s="351"/>
      <c r="H18" s="351"/>
      <c r="I18" s="351"/>
      <c r="J18" s="644">
        <f>ROUND(F18/$C$6,0)</f>
        <v>6761</v>
      </c>
      <c r="O18" s="51"/>
    </row>
    <row r="19" spans="1:15" ht="13.5" thickBot="1">
      <c r="A19" s="74" t="s">
        <v>38</v>
      </c>
      <c r="B19" s="86">
        <f>'TTUHSC FGD'!M42</f>
        <v>13210744</v>
      </c>
      <c r="C19" s="86">
        <f t="shared" si="3"/>
        <v>2303</v>
      </c>
      <c r="D19" s="73">
        <f>'TTUHSC FGD'!$F$42</f>
        <v>0</v>
      </c>
      <c r="E19" s="73"/>
      <c r="F19" s="73">
        <f t="shared" si="4"/>
        <v>13210744</v>
      </c>
      <c r="G19" s="351"/>
      <c r="H19" s="351"/>
      <c r="I19" s="351"/>
      <c r="J19" s="645">
        <f>ROUND(F19/$C$6,0)</f>
        <v>2303</v>
      </c>
      <c r="O19" s="51"/>
    </row>
    <row r="20" spans="1:15" ht="14.25" thickTop="1" thickBot="1">
      <c r="A20" s="87" t="s">
        <v>5</v>
      </c>
      <c r="B20" s="88">
        <f>SUM(B18:B19)</f>
        <v>51990811</v>
      </c>
      <c r="C20" s="88">
        <f>SUM(C18:C19)</f>
        <v>9064</v>
      </c>
      <c r="D20" s="647">
        <f>SUM(D18:D19)</f>
        <v>0</v>
      </c>
      <c r="E20" s="648">
        <f>SUM(E18:E19)</f>
        <v>0</v>
      </c>
      <c r="F20" s="690">
        <f>SUM(F18:F19)</f>
        <v>51990811</v>
      </c>
      <c r="G20" s="650" t="s">
        <v>87</v>
      </c>
      <c r="H20" s="569"/>
      <c r="I20" s="570"/>
      <c r="J20" s="651">
        <f>SUM(J18:J19)</f>
        <v>9064</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'TTUHSC FGD'!M47</f>
        <v>19599396</v>
      </c>
      <c r="C23" s="88"/>
      <c r="D23" s="647">
        <f>'TTUHSC FGD'!F47</f>
        <v>0</v>
      </c>
      <c r="E23" s="648"/>
      <c r="F23" s="690">
        <f>B23-(SUM(D23:E23))</f>
        <v>19599396</v>
      </c>
      <c r="G23" s="652" t="s">
        <v>1162</v>
      </c>
      <c r="H23" s="569"/>
      <c r="I23" s="570"/>
      <c r="J23" s="668">
        <f>ROUND(F23/$C$6,0)</f>
        <v>3417</v>
      </c>
      <c r="O23" s="51"/>
    </row>
    <row r="24" spans="1:15" ht="13.5" thickTop="1">
      <c r="C24" s="74"/>
      <c r="J24" s="643"/>
      <c r="O24" s="51"/>
    </row>
    <row r="25" spans="1:15">
      <c r="A25" s="78" t="s">
        <v>57</v>
      </c>
      <c r="C25" s="74"/>
      <c r="D25" s="73"/>
      <c r="H25" s="351"/>
      <c r="J25" s="643"/>
      <c r="O25" s="51"/>
    </row>
    <row r="26" spans="1:15">
      <c r="A26" s="87" t="s">
        <v>56</v>
      </c>
      <c r="B26" s="88">
        <f>'TTUHSC FGD'!M50</f>
        <v>221537779</v>
      </c>
      <c r="C26" s="88"/>
      <c r="D26" s="88">
        <f>'TTUHSC FGD'!F50</f>
        <v>0</v>
      </c>
      <c r="E26" s="88">
        <f>B26-D26</f>
        <v>221537779</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'TTUHSC FGD'!M53</f>
        <v>0</v>
      </c>
      <c r="C29" s="88"/>
      <c r="D29" s="88">
        <f>'TTUHSC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'TTUHSC FGD'!M56</f>
        <v>12689174</v>
      </c>
      <c r="C32" s="83"/>
      <c r="D32" s="143">
        <f>'TTUHSC FGD'!F56</f>
        <v>38908</v>
      </c>
      <c r="E32" s="143"/>
      <c r="F32" s="143">
        <f t="shared" ref="F32:F37" si="7">B32-(SUM(D32:E32))</f>
        <v>12650266</v>
      </c>
      <c r="G32" s="351"/>
      <c r="H32" s="351"/>
      <c r="I32" s="351"/>
      <c r="J32" s="644">
        <f>ROUND(F32/$C$6,0)</f>
        <v>2205</v>
      </c>
      <c r="O32" s="51"/>
    </row>
    <row r="33" spans="1:30">
      <c r="A33" s="74" t="s">
        <v>9</v>
      </c>
      <c r="B33" s="86">
        <f>'TTUHSC FGD'!M57</f>
        <v>58927560</v>
      </c>
      <c r="C33" s="86"/>
      <c r="D33" s="284">
        <f>'TTUHSC FGD'!F57</f>
        <v>0</v>
      </c>
      <c r="E33" s="73"/>
      <c r="F33" s="73">
        <f t="shared" si="7"/>
        <v>58927560</v>
      </c>
      <c r="G33" s="351"/>
      <c r="H33" s="351"/>
      <c r="I33" s="351"/>
      <c r="J33" s="645">
        <f t="shared" ref="J33:J37" si="8">ROUND(F33/$C$6,0)</f>
        <v>10273</v>
      </c>
      <c r="O33" s="51"/>
    </row>
    <row r="34" spans="1:30" ht="13.5" thickBot="1">
      <c r="A34" s="74" t="s">
        <v>10</v>
      </c>
      <c r="B34" s="86">
        <f>'TTUHSC FGD'!M58</f>
        <v>87600256</v>
      </c>
      <c r="C34" s="86"/>
      <c r="D34" s="284">
        <f>'TTUHSC FGD'!F58</f>
        <v>0</v>
      </c>
      <c r="E34" s="73"/>
      <c r="F34" s="73">
        <f t="shared" si="7"/>
        <v>87600256</v>
      </c>
      <c r="G34" s="351"/>
      <c r="H34" s="351"/>
      <c r="I34" s="351"/>
      <c r="J34" s="645">
        <f t="shared" si="8"/>
        <v>15272</v>
      </c>
      <c r="O34" s="51"/>
    </row>
    <row r="35" spans="1:30" ht="13.5" thickBot="1">
      <c r="A35" s="74" t="s">
        <v>11</v>
      </c>
      <c r="B35" s="86">
        <f>'TTUHSC FGD'!M59</f>
        <v>11084298</v>
      </c>
      <c r="C35" s="86"/>
      <c r="D35" s="284">
        <f>'TTUHSC FGD'!F59</f>
        <v>0</v>
      </c>
      <c r="E35" s="73"/>
      <c r="F35" s="73">
        <f t="shared" si="7"/>
        <v>11084298</v>
      </c>
      <c r="G35" s="351"/>
      <c r="H35" s="351"/>
      <c r="I35" s="351"/>
      <c r="J35" s="645">
        <f t="shared" si="8"/>
        <v>1932</v>
      </c>
      <c r="K35" s="1262"/>
      <c r="L35" s="1245"/>
      <c r="M35" s="1245"/>
      <c r="N35" s="1245"/>
      <c r="O35" s="1246"/>
    </row>
    <row r="36" spans="1:30" ht="13.5" thickBot="1">
      <c r="A36" s="92" t="s">
        <v>1362</v>
      </c>
      <c r="B36" s="86">
        <f>'TTUHSC FGD'!M60</f>
        <v>828063</v>
      </c>
      <c r="C36" s="86"/>
      <c r="D36" s="284">
        <f>'TTUHSC FGD'!F60</f>
        <v>828063</v>
      </c>
      <c r="E36" s="73"/>
      <c r="F36" s="73">
        <f t="shared" si="7"/>
        <v>0</v>
      </c>
      <c r="G36" s="351"/>
      <c r="H36" s="351"/>
      <c r="I36" s="351"/>
      <c r="J36" s="645">
        <f t="shared" si="8"/>
        <v>0</v>
      </c>
      <c r="K36" s="1262" t="s">
        <v>1017</v>
      </c>
      <c r="L36" s="1245"/>
      <c r="M36" s="1245"/>
      <c r="N36" s="1245"/>
      <c r="O36" s="1246"/>
    </row>
    <row r="37" spans="1:30" ht="13.5" customHeight="1" thickBot="1">
      <c r="A37" s="93" t="s">
        <v>41</v>
      </c>
      <c r="B37" s="86">
        <f>'TTUHSC FGD'!M61</f>
        <v>22844915</v>
      </c>
      <c r="C37" s="86"/>
      <c r="D37" s="284">
        <f>'TTUHSC FGD'!F61</f>
        <v>0</v>
      </c>
      <c r="E37" s="73"/>
      <c r="F37" s="73">
        <f t="shared" si="7"/>
        <v>22844915</v>
      </c>
      <c r="G37" s="24"/>
      <c r="H37" s="24"/>
      <c r="I37" s="577"/>
      <c r="J37" s="645">
        <f t="shared" si="8"/>
        <v>3983</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193974266</v>
      </c>
      <c r="C38" s="88"/>
      <c r="D38" s="291">
        <f>SUM(D32:D37)</f>
        <v>866971</v>
      </c>
      <c r="E38" s="291">
        <f>SUM(E32:E37)</f>
        <v>0</v>
      </c>
      <c r="F38" s="692">
        <f>SUM(F32:F37)</f>
        <v>193107295</v>
      </c>
      <c r="G38" s="1259" t="s">
        <v>8</v>
      </c>
      <c r="H38" s="1260"/>
      <c r="I38" s="693" t="s">
        <v>1118</v>
      </c>
      <c r="J38" s="653">
        <f>SUM(J32:J37)</f>
        <v>33665</v>
      </c>
      <c r="K38" s="1264"/>
      <c r="L38" s="1264"/>
      <c r="M38" s="1264"/>
      <c r="N38" s="1264" t="s">
        <v>1021</v>
      </c>
      <c r="O38" s="1264" t="s">
        <v>1022</v>
      </c>
    </row>
    <row r="39" spans="1:30" ht="13.5" thickTop="1">
      <c r="A39" s="94" t="s">
        <v>71</v>
      </c>
      <c r="B39" s="47">
        <f>B15+B20+B23+B26+B29+B38</f>
        <v>688722256</v>
      </c>
      <c r="C39" s="139"/>
      <c r="D39" s="47">
        <f>D15+D20+D23+D26+D29+D38</f>
        <v>866971</v>
      </c>
      <c r="E39" s="47">
        <f>E15+E20+E23+E26+E29+E38</f>
        <v>221537779</v>
      </c>
      <c r="F39" s="778">
        <f>F38+F23+F20+F15</f>
        <v>466317506</v>
      </c>
      <c r="G39" s="1261" t="s">
        <v>89</v>
      </c>
      <c r="H39" s="1261"/>
      <c r="I39" s="793">
        <f>ROUND($G$41/$C$6,0)</f>
        <v>77223</v>
      </c>
      <c r="J39" s="654">
        <f>J15+J20+J23+J38</f>
        <v>81297</v>
      </c>
      <c r="K39" s="1264"/>
      <c r="L39" s="1264"/>
      <c r="M39" s="1264"/>
      <c r="N39" s="1264"/>
      <c r="O39" s="1264"/>
    </row>
    <row r="40" spans="1:30" ht="13.5" thickBot="1">
      <c r="C40" s="74"/>
      <c r="D40" s="351"/>
      <c r="E40" s="351"/>
      <c r="F40" s="351" t="s">
        <v>1163</v>
      </c>
      <c r="G40" s="779">
        <f>G14*-1</f>
        <v>-23372396</v>
      </c>
      <c r="H40" s="351"/>
      <c r="I40" s="693" t="s">
        <v>1120</v>
      </c>
      <c r="J40" s="655"/>
      <c r="K40" s="1265"/>
      <c r="L40" s="1265"/>
      <c r="M40" s="1265"/>
      <c r="N40" s="1265"/>
      <c r="O40" s="1265"/>
    </row>
    <row r="41" spans="1:30" ht="14.25" thickTop="1" thickBot="1">
      <c r="A41" s="81" t="s">
        <v>75</v>
      </c>
      <c r="B41" s="81"/>
      <c r="C41" s="81"/>
      <c r="D41" s="656"/>
      <c r="E41" s="656"/>
      <c r="F41" s="694" t="s">
        <v>1119</v>
      </c>
      <c r="G41" s="695">
        <f>F39+G40</f>
        <v>442945110</v>
      </c>
      <c r="I41" s="1046">
        <f>ROUND($G$41/$I$8,0)</f>
        <v>580782</v>
      </c>
      <c r="K41" s="571"/>
      <c r="L41" s="571"/>
      <c r="M41" s="571"/>
      <c r="N41" s="571"/>
      <c r="O41" s="571"/>
    </row>
    <row r="42" spans="1:30" ht="13.5" thickTop="1">
      <c r="A42" s="95" t="s">
        <v>14</v>
      </c>
      <c r="B42" s="83">
        <f>'TTUHSC FGD'!M65</f>
        <v>202142878</v>
      </c>
      <c r="C42" s="83">
        <f t="shared" ref="C42:C52" si="9">ROUND(B42/$C$6,0)</f>
        <v>35242</v>
      </c>
      <c r="D42" s="143">
        <f>'TTUHSC FGD'!F65</f>
        <v>0</v>
      </c>
      <c r="E42" s="143"/>
      <c r="F42" s="143">
        <f t="shared" ref="F42" si="10">B42-(SUM(D42:E42))</f>
        <v>202142878</v>
      </c>
      <c r="G42" s="351"/>
      <c r="H42" s="1048" t="s">
        <v>1394</v>
      </c>
      <c r="I42" s="1047">
        <f>ROUND(F42/$C$6,0)</f>
        <v>35242</v>
      </c>
      <c r="J42" s="351" t="s">
        <v>669</v>
      </c>
      <c r="K42" s="143">
        <f>F42</f>
        <v>202142878</v>
      </c>
      <c r="L42" s="143">
        <f>K42</f>
        <v>202142878</v>
      </c>
      <c r="M42" s="143"/>
      <c r="N42" s="143"/>
      <c r="O42" s="143"/>
    </row>
    <row r="43" spans="1:30">
      <c r="A43" s="95" t="s">
        <v>15</v>
      </c>
      <c r="B43" s="86">
        <f>'TTUHSC FGD'!M66</f>
        <v>33937168</v>
      </c>
      <c r="C43" s="86">
        <f t="shared" si="9"/>
        <v>5917</v>
      </c>
      <c r="D43" s="357">
        <f>'TTUHSC FGD'!F66</f>
        <v>0</v>
      </c>
      <c r="E43" s="73"/>
      <c r="F43" s="73">
        <f t="shared" ref="F43:F44" si="11">B43-(SUM(D43:E43))</f>
        <v>33937168</v>
      </c>
      <c r="G43" s="351"/>
      <c r="H43" s="351"/>
      <c r="J43" s="351" t="s">
        <v>1093</v>
      </c>
      <c r="K43" s="357">
        <f>F43</f>
        <v>33937168</v>
      </c>
      <c r="L43" s="357">
        <f>K43</f>
        <v>33937168</v>
      </c>
      <c r="M43" s="357"/>
      <c r="N43" s="357"/>
      <c r="O43" s="357"/>
    </row>
    <row r="44" spans="1:30">
      <c r="A44" s="95" t="s">
        <v>16</v>
      </c>
      <c r="B44" s="86">
        <f>'TTUHSC FGD'!M67</f>
        <v>132045671</v>
      </c>
      <c r="C44" s="86"/>
      <c r="D44" s="357">
        <f>'TTUHSC FGD'!F67</f>
        <v>0</v>
      </c>
      <c r="E44" s="284">
        <f>B44-D44</f>
        <v>132045671</v>
      </c>
      <c r="F44" s="73">
        <f t="shared" si="11"/>
        <v>0</v>
      </c>
      <c r="G44" s="351"/>
      <c r="H44" s="351"/>
      <c r="I44" s="351"/>
      <c r="J44" s="351" t="s">
        <v>1094</v>
      </c>
      <c r="K44" s="670"/>
      <c r="L44" s="671"/>
      <c r="M44" s="671" t="s">
        <v>1095</v>
      </c>
      <c r="N44" s="671"/>
      <c r="O44" s="672"/>
    </row>
    <row r="45" spans="1:30">
      <c r="A45" s="96" t="s">
        <v>55</v>
      </c>
      <c r="B45" s="86">
        <f>'TTUHSC FGD'!M68</f>
        <v>78308297</v>
      </c>
      <c r="C45" s="86"/>
      <c r="D45" s="357">
        <f>'TTUHSC FGD'!F68</f>
        <v>0</v>
      </c>
      <c r="E45" s="284">
        <f>B45-D45</f>
        <v>78308297</v>
      </c>
      <c r="F45" s="73">
        <f t="shared" ref="F45" si="12">B45-(SUM(D45:E45))</f>
        <v>0</v>
      </c>
      <c r="G45" s="776"/>
      <c r="J45" s="51" t="s">
        <v>1096</v>
      </c>
      <c r="K45" s="1266" t="s">
        <v>1095</v>
      </c>
      <c r="L45" s="1267"/>
      <c r="M45" s="1267"/>
      <c r="N45" s="1267"/>
      <c r="O45" s="1268"/>
    </row>
    <row r="46" spans="1:30">
      <c r="A46" s="95" t="s">
        <v>17</v>
      </c>
      <c r="B46" s="86">
        <f>'TTUHSC FGD'!M69</f>
        <v>118813442</v>
      </c>
      <c r="C46" s="86">
        <f t="shared" si="9"/>
        <v>20714</v>
      </c>
      <c r="D46" s="357">
        <f>'TTUHSC FGD'!F69</f>
        <v>0</v>
      </c>
      <c r="E46" s="73"/>
      <c r="F46" s="73">
        <f t="shared" ref="F46:F53" si="13">B46-(SUM(D46:E46))</f>
        <v>118813442</v>
      </c>
      <c r="G46" s="351"/>
      <c r="H46" s="1048" t="s">
        <v>1395</v>
      </c>
      <c r="I46" s="1047">
        <f>ROUND(F46/$C$6,0)</f>
        <v>20714</v>
      </c>
      <c r="J46" s="351" t="s">
        <v>1097</v>
      </c>
      <c r="K46" s="357">
        <f t="shared" ref="K46:K50" si="14">F46</f>
        <v>118813442</v>
      </c>
      <c r="L46" s="357">
        <f>K46</f>
        <v>118813442</v>
      </c>
      <c r="M46" s="357"/>
      <c r="N46" s="357"/>
      <c r="O46" s="357"/>
    </row>
    <row r="47" spans="1:30">
      <c r="A47" s="95" t="s">
        <v>18</v>
      </c>
      <c r="B47" s="86">
        <f>'TTUHSC FGD'!M70</f>
        <v>15181835</v>
      </c>
      <c r="C47" s="86">
        <f t="shared" si="9"/>
        <v>2647</v>
      </c>
      <c r="D47" s="357">
        <f>'TTUHSC FGD'!F70</f>
        <v>0</v>
      </c>
      <c r="E47" s="73"/>
      <c r="F47" s="73">
        <f t="shared" si="13"/>
        <v>15181835</v>
      </c>
      <c r="G47" s="351"/>
      <c r="H47" s="351"/>
      <c r="I47" s="351"/>
      <c r="J47" s="351" t="s">
        <v>1098</v>
      </c>
      <c r="K47" s="357">
        <f t="shared" si="14"/>
        <v>15181835</v>
      </c>
      <c r="L47" s="357"/>
      <c r="M47" s="357">
        <f>K47</f>
        <v>15181835</v>
      </c>
      <c r="N47" s="357"/>
      <c r="O47" s="357"/>
    </row>
    <row r="48" spans="1:30">
      <c r="A48" s="95" t="s">
        <v>19</v>
      </c>
      <c r="B48" s="86">
        <f>'TTUHSC FGD'!M71</f>
        <v>29372793</v>
      </c>
      <c r="C48" s="86">
        <f t="shared" si="9"/>
        <v>5121</v>
      </c>
      <c r="D48" s="357">
        <f>'TTUHSC FGD'!F71</f>
        <v>0</v>
      </c>
      <c r="E48" s="73"/>
      <c r="F48" s="73">
        <f t="shared" si="13"/>
        <v>29372793</v>
      </c>
      <c r="G48" s="351"/>
      <c r="H48" s="1048" t="s">
        <v>1396</v>
      </c>
      <c r="I48" s="1047">
        <f>ROUND(F48/$C$6,0)</f>
        <v>5121</v>
      </c>
      <c r="J48" s="351" t="s">
        <v>675</v>
      </c>
      <c r="K48" s="357">
        <f t="shared" si="14"/>
        <v>29372793</v>
      </c>
      <c r="L48" s="357"/>
      <c r="M48" s="357"/>
      <c r="N48" s="357">
        <f>K48</f>
        <v>29372793</v>
      </c>
      <c r="O48" s="357"/>
    </row>
    <row r="49" spans="1:30">
      <c r="A49" s="95" t="s">
        <v>20</v>
      </c>
      <c r="B49" s="86">
        <f>'TTUHSC FGD'!M72</f>
        <v>27095077</v>
      </c>
      <c r="C49" s="86"/>
      <c r="D49" s="357">
        <f>'TTUHSC FGD'!F72</f>
        <v>0</v>
      </c>
      <c r="E49" s="73"/>
      <c r="F49" s="73">
        <f t="shared" si="13"/>
        <v>27095077</v>
      </c>
      <c r="G49" s="351"/>
      <c r="H49" s="351"/>
      <c r="I49" s="351"/>
      <c r="J49" s="351" t="s">
        <v>676</v>
      </c>
      <c r="K49" s="357">
        <f t="shared" si="14"/>
        <v>27095077</v>
      </c>
      <c r="L49" s="357"/>
      <c r="M49" s="357"/>
      <c r="N49" s="357">
        <f>K49</f>
        <v>27095077</v>
      </c>
      <c r="O49" s="357"/>
    </row>
    <row r="50" spans="1:30">
      <c r="A50" s="95" t="s">
        <v>21</v>
      </c>
      <c r="B50" s="86">
        <f>'TTUHSC FGD'!M73</f>
        <v>3308985</v>
      </c>
      <c r="C50" s="86">
        <f t="shared" si="9"/>
        <v>577</v>
      </c>
      <c r="D50" s="357">
        <f>'TTUHSC FGD'!F73</f>
        <v>0</v>
      </c>
      <c r="E50" s="73"/>
      <c r="F50" s="73">
        <f t="shared" si="13"/>
        <v>3308985</v>
      </c>
      <c r="G50" s="351"/>
      <c r="H50" s="351"/>
      <c r="I50" s="351"/>
      <c r="J50" s="351" t="s">
        <v>1099</v>
      </c>
      <c r="K50" s="357">
        <f t="shared" si="14"/>
        <v>3308985</v>
      </c>
      <c r="L50" s="357"/>
      <c r="M50" s="357">
        <f>K50</f>
        <v>3308985</v>
      </c>
      <c r="N50" s="357"/>
      <c r="O50" s="357"/>
    </row>
    <row r="51" spans="1:30">
      <c r="A51" s="95" t="s">
        <v>1363</v>
      </c>
      <c r="B51" s="86">
        <f>'TTUHSC FGD'!M74</f>
        <v>456145</v>
      </c>
      <c r="C51" s="86"/>
      <c r="D51" s="657">
        <f>B51</f>
        <v>456145</v>
      </c>
      <c r="E51" s="73"/>
      <c r="F51" s="73">
        <f t="shared" si="13"/>
        <v>0</v>
      </c>
      <c r="G51" s="351"/>
      <c r="H51" s="351"/>
      <c r="I51" s="351"/>
      <c r="J51" s="351" t="s">
        <v>660</v>
      </c>
      <c r="K51" s="670"/>
      <c r="L51" s="671"/>
      <c r="M51" s="671" t="s">
        <v>1095</v>
      </c>
      <c r="N51" s="671"/>
      <c r="O51" s="672"/>
    </row>
    <row r="52" spans="1:30">
      <c r="A52" s="95" t="s">
        <v>65</v>
      </c>
      <c r="B52" s="86">
        <f>'TTUHSC FGD'!M75</f>
        <v>4050982</v>
      </c>
      <c r="C52" s="86">
        <f t="shared" si="9"/>
        <v>706</v>
      </c>
      <c r="D52" s="357">
        <f>'TTUHSC FGD'!F75</f>
        <v>0</v>
      </c>
      <c r="E52" s="73"/>
      <c r="F52" s="73">
        <f t="shared" si="13"/>
        <v>4050982</v>
      </c>
      <c r="G52" s="351"/>
      <c r="J52" s="351" t="s">
        <v>1100</v>
      </c>
      <c r="K52" s="357">
        <f t="shared" ref="K52:K53" si="15">F52</f>
        <v>4050982</v>
      </c>
      <c r="L52" s="357"/>
      <c r="M52" s="357"/>
      <c r="N52" s="357"/>
      <c r="O52" s="357">
        <f>K52</f>
        <v>4050982</v>
      </c>
    </row>
    <row r="53" spans="1:30" ht="13.5" thickBot="1">
      <c r="A53" s="74" t="s">
        <v>47</v>
      </c>
      <c r="B53" s="86">
        <f>'TTUHSC FGD'!M76</f>
        <v>488877</v>
      </c>
      <c r="C53" s="86"/>
      <c r="D53" s="357">
        <f>'TTUHSC FGD'!F76</f>
        <v>0</v>
      </c>
      <c r="E53" s="73"/>
      <c r="F53" s="73">
        <f t="shared" si="13"/>
        <v>488877</v>
      </c>
      <c r="G53" s="24"/>
      <c r="H53" s="1048" t="s">
        <v>1397</v>
      </c>
      <c r="I53" s="1047">
        <f>ROUND(SUM(F43+F47+F49+F50+F52+F53)/$C$6,0)</f>
        <v>14656</v>
      </c>
      <c r="J53" s="572" t="s">
        <v>1022</v>
      </c>
      <c r="K53" s="357">
        <f t="shared" si="15"/>
        <v>488877</v>
      </c>
      <c r="L53" s="573"/>
      <c r="M53" s="573"/>
      <c r="N53" s="573"/>
      <c r="O53" s="357">
        <f>K53</f>
        <v>488877</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645202150</v>
      </c>
      <c r="C54" s="48">
        <f>SUM(C42:C53)</f>
        <v>70924</v>
      </c>
      <c r="D54" s="48">
        <f>SUM(D42:D53)</f>
        <v>456145</v>
      </c>
      <c r="E54" s="698">
        <f>SUM(E43:E53)</f>
        <v>210353968</v>
      </c>
      <c r="F54" s="649">
        <f>SUM(F42:F53)</f>
        <v>434392037</v>
      </c>
      <c r="G54" s="1279" t="s">
        <v>1121</v>
      </c>
      <c r="H54" s="1280"/>
      <c r="I54" s="697" t="s">
        <v>1398</v>
      </c>
      <c r="J54" s="572" t="s">
        <v>1101</v>
      </c>
      <c r="K54" s="574">
        <f>SUM(K42:K53)</f>
        <v>434392037</v>
      </c>
      <c r="L54" s="574">
        <f t="shared" ref="L54:O54" si="16">SUM(L42:L53)</f>
        <v>354893488</v>
      </c>
      <c r="M54" s="574">
        <f t="shared" si="16"/>
        <v>18490820</v>
      </c>
      <c r="N54" s="574">
        <f t="shared" si="16"/>
        <v>56467870</v>
      </c>
      <c r="O54" s="574">
        <f t="shared" si="16"/>
        <v>4539859</v>
      </c>
    </row>
    <row r="55" spans="1:30" ht="14.25" customHeight="1" thickTop="1" thickBot="1">
      <c r="A55" s="92"/>
      <c r="C55" s="74"/>
      <c r="F55" s="575"/>
      <c r="G55" s="1281"/>
      <c r="H55" s="1282"/>
      <c r="I55" s="699">
        <f>ROUND(F54/C6,0)</f>
        <v>75732</v>
      </c>
      <c r="J55" s="1258" t="s">
        <v>1102</v>
      </c>
      <c r="K55" s="573"/>
      <c r="L55" s="573"/>
      <c r="M55" s="573"/>
      <c r="N55" s="573"/>
      <c r="O55" s="573"/>
    </row>
    <row r="56" spans="1:30" ht="16.5" customHeight="1" thickBot="1">
      <c r="A56" s="78" t="s">
        <v>23</v>
      </c>
      <c r="C56" s="74"/>
      <c r="F56" s="576"/>
      <c r="G56" s="1283"/>
      <c r="H56" s="1284"/>
      <c r="I56" s="693" t="s">
        <v>1399</v>
      </c>
      <c r="J56" s="1258"/>
      <c r="K56" s="700">
        <f>ROUND(K54/$C$6,2)</f>
        <v>75731.75</v>
      </c>
      <c r="L56" s="700">
        <f t="shared" ref="L56:O56" si="17">ROUND(L54/$C$6,2)</f>
        <v>61872</v>
      </c>
      <c r="M56" s="700">
        <f t="shared" si="17"/>
        <v>3223.68</v>
      </c>
      <c r="N56" s="700">
        <f t="shared" si="17"/>
        <v>9844.59</v>
      </c>
      <c r="O56" s="700">
        <f t="shared" si="17"/>
        <v>791.48</v>
      </c>
      <c r="P56" s="89"/>
      <c r="Q56" s="89"/>
      <c r="R56" s="89"/>
      <c r="S56" s="89"/>
      <c r="T56" s="89"/>
      <c r="U56" s="89"/>
      <c r="V56" s="89"/>
      <c r="W56" s="89"/>
      <c r="X56" s="89"/>
      <c r="Y56" s="89"/>
      <c r="Z56" s="89"/>
      <c r="AA56" s="89"/>
      <c r="AB56" s="89"/>
      <c r="AC56" s="89"/>
      <c r="AD56" s="89"/>
    </row>
    <row r="57" spans="1:30" ht="13.5" thickTop="1">
      <c r="A57" s="74" t="s">
        <v>66</v>
      </c>
      <c r="B57" s="86">
        <f>'TTUHSC FGD'!M80</f>
        <v>-56086071</v>
      </c>
      <c r="C57" s="86"/>
      <c r="D57" s="143">
        <f>'TTUHSC FGD'!F80</f>
        <v>0</v>
      </c>
      <c r="E57" s="143"/>
      <c r="F57" s="1045">
        <f t="shared" ref="F57:F60" si="18">B57-(SUM(D57:E57))</f>
        <v>-56086071</v>
      </c>
      <c r="G57" s="780"/>
      <c r="I57" s="696">
        <f>ROUND($F$54/$I$8,0)</f>
        <v>569567</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'TTUHSC FGD'!M81</f>
        <v>633568</v>
      </c>
      <c r="C58" s="86"/>
      <c r="D58" s="285">
        <f>'TTUHSC FGD'!F81</f>
        <v>-10000</v>
      </c>
      <c r="E58" s="82"/>
      <c r="F58" s="73">
        <f t="shared" si="18"/>
        <v>643568</v>
      </c>
      <c r="G58" s="351"/>
      <c r="J58" s="351"/>
      <c r="K58" s="578"/>
      <c r="L58" s="578"/>
      <c r="M58" s="578"/>
      <c r="N58" s="578"/>
      <c r="O58" s="578"/>
    </row>
    <row r="59" spans="1:30">
      <c r="A59" s="98" t="s">
        <v>52</v>
      </c>
      <c r="B59" s="86">
        <f>'TTUHSC FGD'!M82</f>
        <v>37138691</v>
      </c>
      <c r="C59" s="86"/>
      <c r="D59" s="285">
        <f>'TTUHSC FGD'!F82</f>
        <v>0</v>
      </c>
      <c r="E59" s="82"/>
      <c r="F59" s="73">
        <f t="shared" si="18"/>
        <v>37138691</v>
      </c>
      <c r="G59" s="24"/>
      <c r="J59" s="658"/>
      <c r="K59" s="658"/>
      <c r="L59" s="658"/>
      <c r="M59" s="658"/>
      <c r="N59" s="658"/>
      <c r="O59" s="658"/>
    </row>
    <row r="60" spans="1:30" ht="12" customHeight="1">
      <c r="A60" s="74" t="s">
        <v>43</v>
      </c>
      <c r="B60" s="86">
        <f>'TTUHSC FGD'!M83</f>
        <v>-13989425</v>
      </c>
      <c r="C60" s="86"/>
      <c r="D60" s="285">
        <f>'TTUHSC FGD'!F83</f>
        <v>0</v>
      </c>
      <c r="E60" s="82"/>
      <c r="F60" s="73">
        <f t="shared" si="18"/>
        <v>-13989425</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-32303237</v>
      </c>
      <c r="C61" s="88"/>
      <c r="D61" s="88">
        <f>SUM(D57:D60)</f>
        <v>-10000</v>
      </c>
      <c r="E61" s="88">
        <f>SUM(E57:E60)</f>
        <v>0</v>
      </c>
      <c r="F61" s="99">
        <f>SUM(F57:F60)</f>
        <v>-32293237</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'TTUHSC FGD'!M87</f>
        <v>3008480</v>
      </c>
      <c r="C64" s="86"/>
      <c r="D64" s="143">
        <f>'TTUHSC FGD'!F87</f>
        <v>0</v>
      </c>
      <c r="E64" s="143"/>
      <c r="F64" s="143">
        <f t="shared" ref="F64:F65" si="19">B64-(SUM(D64:E64))</f>
        <v>3008480</v>
      </c>
      <c r="O64" s="51"/>
    </row>
    <row r="65" spans="1:30">
      <c r="A65" s="74" t="s">
        <v>45</v>
      </c>
      <c r="B65" s="86">
        <f>'TTUHSC FGD'!M88</f>
        <v>1968342</v>
      </c>
      <c r="C65" s="86"/>
      <c r="D65" s="285">
        <f>'TTUHSC FGD'!F88</f>
        <v>0</v>
      </c>
      <c r="E65" s="82"/>
      <c r="F65" s="73">
        <f t="shared" si="19"/>
        <v>1968342</v>
      </c>
      <c r="O65" s="51"/>
      <c r="P65" s="89"/>
      <c r="Q65" s="89"/>
      <c r="R65" s="89"/>
      <c r="S65" s="89"/>
      <c r="T65" s="89"/>
      <c r="U65" s="89"/>
      <c r="V65" s="89"/>
      <c r="W65" s="89"/>
      <c r="X65" s="89"/>
      <c r="Y65" s="89"/>
      <c r="Z65" s="89"/>
      <c r="AA65" s="89"/>
      <c r="AB65" s="89"/>
      <c r="AC65" s="89"/>
      <c r="AD65" s="89"/>
    </row>
    <row r="66" spans="1:30" s="92" customFormat="1">
      <c r="A66" s="87" t="s">
        <v>3</v>
      </c>
      <c r="B66" s="88">
        <f>SUM(B64:B65)</f>
        <v>4976822</v>
      </c>
      <c r="C66" s="88"/>
      <c r="D66" s="88">
        <f>SUM(D64:D65)</f>
        <v>0</v>
      </c>
      <c r="E66" s="88">
        <f>SUM(E64:E65)</f>
        <v>0</v>
      </c>
      <c r="F66" s="88">
        <f>SUM(F64:F65)</f>
        <v>4976822</v>
      </c>
      <c r="G66" s="51"/>
      <c r="H66" s="51"/>
      <c r="I66" s="51"/>
      <c r="J66" s="51"/>
      <c r="K66" s="51"/>
      <c r="L66" s="51"/>
      <c r="M66" s="51"/>
      <c r="N66" s="51"/>
      <c r="O66" s="51"/>
    </row>
    <row r="67" spans="1:30">
      <c r="C67" s="74"/>
      <c r="O67" s="51"/>
    </row>
    <row r="68" spans="1:30" ht="13.5" thickBot="1">
      <c r="A68" s="100" t="s">
        <v>616</v>
      </c>
      <c r="B68" s="49">
        <f>B39-B54+B61+B66</f>
        <v>16193691</v>
      </c>
      <c r="C68" s="49"/>
      <c r="D68" s="49">
        <f>D39-D54+D61+D66</f>
        <v>400826</v>
      </c>
      <c r="E68" s="49">
        <f>E39-E54+E61+E66</f>
        <v>11183811</v>
      </c>
      <c r="F68" s="49">
        <f>F39-F54+F61+F66</f>
        <v>4609054</v>
      </c>
      <c r="O68" s="51"/>
    </row>
    <row r="69" spans="1:30" ht="13.5" thickTop="1"/>
    <row r="70" spans="1:30">
      <c r="A70" s="51" t="s">
        <v>1109</v>
      </c>
      <c r="D70" s="143"/>
    </row>
    <row r="71" spans="1:30">
      <c r="A71" s="74" t="s">
        <v>51</v>
      </c>
    </row>
    <row r="72" spans="1:30">
      <c r="B72" s="659">
        <f>'TTUHSC FGD'!$M$91</f>
        <v>16193691</v>
      </c>
      <c r="C72" s="74"/>
      <c r="D72" s="659">
        <f>'TTUHSC FGD'!F91</f>
        <v>400826</v>
      </c>
      <c r="E72" s="659">
        <f>'TTUHSC FGD'!M50</f>
        <v>221537779</v>
      </c>
      <c r="F72" s="74"/>
    </row>
    <row r="73" spans="1:30">
      <c r="B73" s="659"/>
      <c r="C73" s="74"/>
      <c r="D73" s="659">
        <f>'TTUHSC FGD'!F74</f>
        <v>456145</v>
      </c>
      <c r="E73" s="659">
        <f>'TTUHSC FGD'!M53</f>
        <v>0</v>
      </c>
      <c r="F73" s="659"/>
    </row>
    <row r="74" spans="1:30">
      <c r="B74" s="676"/>
      <c r="C74" s="92"/>
      <c r="D74" s="676">
        <f>-'TTUHSC FGD'!M74</f>
        <v>-456145</v>
      </c>
      <c r="E74" s="659">
        <f>-'TTUHSC FGD'!M68</f>
        <v>-78308297</v>
      </c>
      <c r="F74" s="659"/>
    </row>
    <row r="75" spans="1:30">
      <c r="B75" s="676"/>
      <c r="C75" s="74"/>
      <c r="D75" s="676"/>
      <c r="E75" s="676">
        <f>-'TTUHSC FGD'!M67</f>
        <v>-132045671</v>
      </c>
      <c r="F75" s="659"/>
      <c r="G75" s="351"/>
      <c r="H75" s="351"/>
    </row>
    <row r="76" spans="1:30" ht="12.75" customHeight="1">
      <c r="B76" s="675"/>
      <c r="C76" s="74"/>
      <c r="D76" s="675"/>
      <c r="E76" s="675">
        <f>-D26</f>
        <v>0</v>
      </c>
      <c r="F76" s="659"/>
      <c r="G76" s="351"/>
      <c r="H76" s="351"/>
    </row>
    <row r="77" spans="1:30" ht="12.75" customHeight="1">
      <c r="B77" s="659">
        <f>SUM(B72:B76)</f>
        <v>16193691</v>
      </c>
      <c r="C77" s="74"/>
      <c r="D77" s="659">
        <f>SUM(D72:D76)</f>
        <v>400826</v>
      </c>
      <c r="E77" s="659">
        <f>SUM(E72:E76)</f>
        <v>11183811</v>
      </c>
      <c r="F77" s="659">
        <f>B77-D77-E77</f>
        <v>4609054</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16193691</v>
      </c>
      <c r="C80" s="74"/>
      <c r="D80" s="659">
        <f>SUM(D77:D79)</f>
        <v>400826</v>
      </c>
      <c r="E80" s="659">
        <f>SUM(E77:E79)</f>
        <v>11183811</v>
      </c>
      <c r="F80" s="659">
        <f>SUM(F77:F79)</f>
        <v>4609054</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O37:O40"/>
    <mergeCell ref="D4:D5"/>
    <mergeCell ref="J1:O1"/>
    <mergeCell ref="E4:E5"/>
    <mergeCell ref="K35:O35"/>
    <mergeCell ref="J55:J56"/>
    <mergeCell ref="K37:K40"/>
    <mergeCell ref="L37:L40"/>
    <mergeCell ref="G38:H38"/>
    <mergeCell ref="G39:H39"/>
    <mergeCell ref="K45:O45"/>
    <mergeCell ref="M37:M40"/>
    <mergeCell ref="N37:N40"/>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8"/>
  <sheetViews>
    <sheetView showGridLines="0" zoomScale="75" zoomScaleNormal="75" workbookViewId="0">
      <pane xSplit="2" ySplit="8" topLeftCell="L56" activePane="bottomRight" state="frozen"/>
      <selection activeCell="C36" sqref="C36"/>
      <selection pane="topRight" activeCell="C36" sqref="C36"/>
      <selection pane="bottomLeft" activeCell="C36" sqref="C36"/>
      <selection pane="bottomRight" activeCell="R94" sqref="R94"/>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'TTUHSC Chts'!$A$1</f>
        <v>Texas Tech University Health Sciences Center</v>
      </c>
      <c r="C2" s="1273"/>
      <c r="D2" s="1273"/>
      <c r="E2" s="1273"/>
      <c r="F2" s="1273"/>
      <c r="H2" s="174"/>
      <c r="I2" s="149" t="str">
        <f>IF($B$2&lt;&gt;Input!$H$14,"Name Mismatch","")</f>
        <v/>
      </c>
      <c r="J2" s="182"/>
      <c r="K2" s="182"/>
      <c r="L2" s="182"/>
      <c r="M2" s="175"/>
      <c r="O2" s="737" t="s">
        <v>1123</v>
      </c>
      <c r="P2" s="294"/>
    </row>
    <row r="3" spans="1:28" ht="20.25">
      <c r="A3" s="173">
        <v>2</v>
      </c>
      <c r="B3" s="1273" t="str">
        <f>'Smmy Chts'!$A$2</f>
        <v>For the Year Ended August 31, 2018</v>
      </c>
      <c r="C3" s="1273"/>
      <c r="D3" s="1273"/>
      <c r="E3" s="1273"/>
      <c r="F3" s="1273"/>
      <c r="G3" s="174"/>
      <c r="H3" s="174"/>
      <c r="I3" s="182"/>
      <c r="J3" s="182"/>
      <c r="K3" s="182"/>
      <c r="L3" s="182"/>
      <c r="M3" s="175"/>
      <c r="O3" s="73"/>
    </row>
    <row r="4" spans="1:28" ht="20.25">
      <c r="A4" s="173">
        <v>3</v>
      </c>
      <c r="B4" s="1273" t="str">
        <f>'Smmy Chts'!$A$3</f>
        <v>Source: FY 2018 Annual Financial Report</v>
      </c>
      <c r="C4" s="1273"/>
      <c r="D4" s="1273"/>
      <c r="E4" s="1273"/>
      <c r="F4" s="1273"/>
      <c r="G4" s="174"/>
      <c r="H4" s="174"/>
      <c r="I4" s="182"/>
      <c r="J4" s="182"/>
      <c r="K4" s="182"/>
      <c r="L4" s="182"/>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Input!$M$14</f>
        <v>154380009</v>
      </c>
      <c r="E10" s="355">
        <f>Input!$N$14</f>
        <v>0</v>
      </c>
      <c r="F10" s="355">
        <f>Input!$O$14</f>
        <v>0</v>
      </c>
      <c r="G10" s="355">
        <f>Input!$P$14</f>
        <v>12127258</v>
      </c>
      <c r="H10" s="355">
        <f>Input!$Q$14</f>
        <v>0</v>
      </c>
      <c r="I10" s="355">
        <f>Input!$R$14</f>
        <v>0</v>
      </c>
      <c r="J10" s="355">
        <f>Input!$S$14</f>
        <v>0</v>
      </c>
      <c r="K10" s="355">
        <f>Input!$T$14</f>
        <v>0</v>
      </c>
      <c r="L10" s="355">
        <f>Input!$U$14</f>
        <v>0</v>
      </c>
      <c r="M10" s="357">
        <f t="shared" ref="M10:M15" si="0">D10+E10+F10+G10+H10+I10+J10+K10+L10</f>
        <v>166507267</v>
      </c>
      <c r="O10" s="184"/>
      <c r="P10" s="1308" t="s">
        <v>595</v>
      </c>
      <c r="Q10" s="50"/>
      <c r="R10" s="50"/>
      <c r="S10" s="50"/>
      <c r="T10" s="183"/>
      <c r="U10" s="183"/>
      <c r="V10" s="50"/>
      <c r="W10" s="50"/>
      <c r="X10" s="50"/>
      <c r="Y10" s="50"/>
      <c r="Z10" s="50"/>
      <c r="AA10" s="50"/>
      <c r="AB10" s="50"/>
    </row>
    <row r="11" spans="1:28" s="149" customFormat="1">
      <c r="A11" s="147">
        <v>10</v>
      </c>
      <c r="B11" s="149" t="s">
        <v>2</v>
      </c>
      <c r="D11" s="355">
        <f>Input!$V$14</f>
        <v>5069124</v>
      </c>
      <c r="E11" s="355">
        <f>Input!$W$14</f>
        <v>82852</v>
      </c>
      <c r="F11" s="355">
        <f>Input!$X$14</f>
        <v>0</v>
      </c>
      <c r="G11" s="355">
        <f>Input!$Y$14</f>
        <v>6588365</v>
      </c>
      <c r="H11" s="355">
        <f>Input!$Z$14</f>
        <v>0</v>
      </c>
      <c r="I11" s="355">
        <f>Input!$AA$14</f>
        <v>0</v>
      </c>
      <c r="J11" s="355">
        <f>Input!$AB$14</f>
        <v>0</v>
      </c>
      <c r="K11" s="355">
        <f>Input!$AC$14</f>
        <v>0</v>
      </c>
      <c r="L11" s="355">
        <f>Input!$AD$14</f>
        <v>0</v>
      </c>
      <c r="M11" s="357">
        <f t="shared" si="0"/>
        <v>11740341</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Input!$AN$14</f>
        <v>23372396</v>
      </c>
      <c r="E13" s="355">
        <f>Input!$AO$14</f>
        <v>0</v>
      </c>
      <c r="F13" s="355">
        <f>Input!$AP$14</f>
        <v>0</v>
      </c>
      <c r="G13" s="355">
        <f>Input!$AQ$14</f>
        <v>0</v>
      </c>
      <c r="H13" s="355">
        <f>Input!$AR$14</f>
        <v>0</v>
      </c>
      <c r="I13" s="355">
        <f>Input!$AS$14</f>
        <v>0</v>
      </c>
      <c r="J13" s="355">
        <f>Input!$AT$14</f>
        <v>0</v>
      </c>
      <c r="K13" s="355">
        <f>Input!$AU$14</f>
        <v>0</v>
      </c>
      <c r="L13" s="355">
        <f>Input!$AV$14</f>
        <v>0</v>
      </c>
      <c r="M13" s="357">
        <f t="shared" si="0"/>
        <v>23372396</v>
      </c>
      <c r="O13" s="455" t="str">
        <f>IF(P13&lt;&gt;M13,"Out of Balance","Balanced")</f>
        <v>Balanced</v>
      </c>
      <c r="P13" s="457">
        <f>IFERROR(VLOOKUP($B$2,AMTLU,6,FALSE),0)</f>
        <v>23372396</v>
      </c>
      <c r="Q13" s="50"/>
      <c r="R13" s="50"/>
      <c r="S13" s="50"/>
      <c r="T13" s="183"/>
      <c r="U13" s="183"/>
      <c r="V13" s="50"/>
      <c r="W13" s="50"/>
      <c r="X13" s="50"/>
      <c r="Y13" s="50"/>
      <c r="Z13" s="50"/>
      <c r="AA13" s="50"/>
      <c r="AB13" s="50"/>
    </row>
    <row r="14" spans="1:28" s="149" customFormat="1" ht="15">
      <c r="A14" s="147">
        <v>13</v>
      </c>
      <c r="B14" s="149" t="s">
        <v>46</v>
      </c>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182821529</v>
      </c>
      <c r="E15" s="356">
        <f t="shared" ref="E15:L15" si="1">SUM(E10:E14)</f>
        <v>82852</v>
      </c>
      <c r="F15" s="356">
        <f t="shared" si="1"/>
        <v>0</v>
      </c>
      <c r="G15" s="356">
        <f t="shared" si="1"/>
        <v>18715623</v>
      </c>
      <c r="H15" s="356">
        <f t="shared" si="1"/>
        <v>0</v>
      </c>
      <c r="I15" s="356">
        <f t="shared" si="1"/>
        <v>0</v>
      </c>
      <c r="J15" s="356">
        <f t="shared" si="1"/>
        <v>0</v>
      </c>
      <c r="K15" s="356">
        <f t="shared" si="1"/>
        <v>0</v>
      </c>
      <c r="L15" s="356">
        <f t="shared" si="1"/>
        <v>0</v>
      </c>
      <c r="M15" s="356">
        <f t="shared" si="0"/>
        <v>201620004</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20456468</v>
      </c>
      <c r="E18" s="356">
        <f t="shared" si="2"/>
        <v>27794027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48250495</v>
      </c>
      <c r="V18" s="342"/>
      <c r="X18" s="326"/>
    </row>
    <row r="19" spans="1:26" s="50" customFormat="1" ht="12.75" customHeight="1" thickTop="1" thickBot="1">
      <c r="A19" s="293"/>
      <c r="B19" s="51" t="s">
        <v>638</v>
      </c>
      <c r="C19" s="51"/>
      <c r="D19" s="355">
        <f>Input!$BF$14</f>
        <v>-3137114</v>
      </c>
      <c r="E19" s="355">
        <f>Input!$BG$14</f>
        <v>0</v>
      </c>
      <c r="F19" s="355">
        <f>Input!$BH$14</f>
        <v>0</v>
      </c>
      <c r="G19" s="355">
        <f>Input!$BI$14</f>
        <v>0</v>
      </c>
      <c r="H19" s="355">
        <f>Input!$BJ$14</f>
        <v>0</v>
      </c>
      <c r="I19" s="355">
        <f>Input!BK6</f>
        <v>0</v>
      </c>
      <c r="J19" s="355">
        <f>Input!$BL$14</f>
        <v>0</v>
      </c>
      <c r="K19" s="355">
        <f>Input!BM6</f>
        <v>0</v>
      </c>
      <c r="L19" s="355">
        <f>Input!BN6</f>
        <v>0</v>
      </c>
      <c r="M19" s="357">
        <f t="shared" si="3"/>
        <v>-3137114</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Input!$BO$14</f>
        <v>0</v>
      </c>
      <c r="E20" s="355">
        <f>Input!$BP$14</f>
        <v>0</v>
      </c>
      <c r="F20" s="355">
        <f>Input!$BQ$14</f>
        <v>0</v>
      </c>
      <c r="G20" s="355">
        <f>Input!$BR$14</f>
        <v>0</v>
      </c>
      <c r="H20" s="355">
        <f>Input!$BS$14</f>
        <v>0</v>
      </c>
      <c r="I20" s="355">
        <f>Input!$BT$14</f>
        <v>0</v>
      </c>
      <c r="J20" s="355">
        <f>Input!BU6</f>
        <v>0</v>
      </c>
      <c r="K20" s="355">
        <f>Input!BV6</f>
        <v>0</v>
      </c>
      <c r="L20" s="355">
        <f>Input!$BW$14</f>
        <v>0</v>
      </c>
      <c r="M20" s="357">
        <f t="shared" si="3"/>
        <v>0</v>
      </c>
      <c r="O20" s="414" t="s">
        <v>215</v>
      </c>
      <c r="P20" s="415"/>
      <c r="Q20" s="416"/>
      <c r="R20" s="416"/>
      <c r="S20" s="537"/>
      <c r="U20" s="538" t="s">
        <v>997</v>
      </c>
      <c r="V20" s="296"/>
      <c r="W20" s="296"/>
      <c r="Y20" s="420"/>
    </row>
    <row r="21" spans="1:26" s="50" customFormat="1">
      <c r="A21" s="293"/>
      <c r="B21" s="51" t="s">
        <v>640</v>
      </c>
      <c r="C21" s="51"/>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430"/>
      <c r="R21" s="347"/>
      <c r="S21" s="539"/>
      <c r="U21" s="621" t="s">
        <v>998</v>
      </c>
      <c r="V21" s="296"/>
      <c r="W21" s="296"/>
      <c r="X21" s="622">
        <f>M44</f>
        <v>51990811</v>
      </c>
      <c r="Y21" s="420"/>
      <c r="Z21" s="326"/>
    </row>
    <row r="22" spans="1:26" s="50" customFormat="1">
      <c r="A22" s="293"/>
      <c r="B22" s="51" t="s">
        <v>641</v>
      </c>
      <c r="C22" s="51"/>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99"/>
      <c r="O22" s="430" t="s">
        <v>999</v>
      </c>
      <c r="P22" s="305"/>
      <c r="Q22" s="419">
        <f>M23</f>
        <v>45113381</v>
      </c>
      <c r="S22" s="540"/>
      <c r="U22" s="621" t="s">
        <v>1000</v>
      </c>
      <c r="V22" s="296"/>
      <c r="W22" s="296"/>
      <c r="X22" s="623">
        <f>R30*-1</f>
        <v>7311589</v>
      </c>
      <c r="Y22" s="420"/>
    </row>
    <row r="23" spans="1:26" s="50" customFormat="1" ht="12.75" customHeight="1">
      <c r="A23" s="293"/>
      <c r="B23" s="536" t="s">
        <v>642</v>
      </c>
      <c r="C23" s="179"/>
      <c r="D23" s="541">
        <f>Input!$CP$14</f>
        <v>17319354</v>
      </c>
      <c r="E23" s="541">
        <f>Input!$CQ$14</f>
        <v>27794027</v>
      </c>
      <c r="F23" s="541">
        <f>Input!$CR$14</f>
        <v>0</v>
      </c>
      <c r="G23" s="541">
        <f>Input!$CS$14</f>
        <v>0</v>
      </c>
      <c r="H23" s="541">
        <f>Input!$CT$14</f>
        <v>0</v>
      </c>
      <c r="I23" s="541">
        <f>Input!$CU$14</f>
        <v>0</v>
      </c>
      <c r="J23" s="541">
        <f>Input!$CV$14</f>
        <v>0</v>
      </c>
      <c r="K23" s="541">
        <f>Input!$CW$14</f>
        <v>0</v>
      </c>
      <c r="L23" s="541">
        <f>Input!$CX$14</f>
        <v>0</v>
      </c>
      <c r="M23" s="542">
        <f t="shared" si="3"/>
        <v>45113381</v>
      </c>
      <c r="O23" s="430"/>
      <c r="P23" s="305"/>
      <c r="Q23" s="419"/>
      <c r="S23" s="540"/>
      <c r="U23" s="538" t="s">
        <v>1185</v>
      </c>
      <c r="V23" s="296"/>
      <c r="W23" s="296"/>
      <c r="X23" s="305"/>
      <c r="Y23" s="420">
        <f>SUM(X21:X22)</f>
        <v>59302400</v>
      </c>
      <c r="Z23" s="326"/>
    </row>
    <row r="24" spans="1:26" s="50" customFormat="1" ht="12.75" customHeight="1">
      <c r="A24" s="293"/>
      <c r="B24" s="51" t="s">
        <v>643</v>
      </c>
      <c r="C24" s="180"/>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43">
        <f t="shared" si="3"/>
        <v>0</v>
      </c>
      <c r="O24" s="418" t="s">
        <v>1001</v>
      </c>
      <c r="P24" s="305"/>
      <c r="Q24" s="342"/>
      <c r="R24" s="342">
        <f>SUM(M24:M28)</f>
        <v>-6333314</v>
      </c>
      <c r="S24" s="540"/>
      <c r="U24" s="538"/>
      <c r="V24" s="296"/>
      <c r="W24" s="296"/>
      <c r="Y24" s="420"/>
      <c r="Z24" s="326"/>
    </row>
    <row r="25" spans="1:26" s="50" customFormat="1" ht="12.75" customHeight="1">
      <c r="A25" s="293"/>
      <c r="B25" s="51" t="s">
        <v>644</v>
      </c>
      <c r="C25" s="180"/>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43">
        <f t="shared" si="3"/>
        <v>0</v>
      </c>
      <c r="O25" s="430"/>
      <c r="P25" s="305"/>
      <c r="Q25" s="342"/>
      <c r="R25" s="342"/>
      <c r="S25" s="540"/>
      <c r="U25" s="544" t="s">
        <v>1045</v>
      </c>
      <c r="V25" s="545"/>
      <c r="W25" s="545"/>
      <c r="X25" s="624">
        <f>(M26+M39)*-1</f>
        <v>2449512</v>
      </c>
      <c r="Y25" s="420"/>
      <c r="Z25" s="326"/>
    </row>
    <row r="26" spans="1:26" s="50" customFormat="1" ht="12.75" customHeight="1">
      <c r="A26" s="293"/>
      <c r="B26" s="51" t="s">
        <v>645</v>
      </c>
      <c r="C26" s="180"/>
      <c r="D26" s="355">
        <f>Input!$DQ$14</f>
        <v>-413470</v>
      </c>
      <c r="E26" s="355">
        <f>Input!$DR$14</f>
        <v>-1057767</v>
      </c>
      <c r="F26" s="355">
        <f>Input!$DS$14</f>
        <v>0</v>
      </c>
      <c r="G26" s="355">
        <f>Input!$DT$14</f>
        <v>0</v>
      </c>
      <c r="H26" s="355">
        <f>Input!$DU$14</f>
        <v>0</v>
      </c>
      <c r="I26" s="355">
        <f>Input!$DV$14</f>
        <v>0</v>
      </c>
      <c r="J26" s="355">
        <f>Input!$DW$14</f>
        <v>0</v>
      </c>
      <c r="K26" s="355">
        <f>Input!$DX$14</f>
        <v>0</v>
      </c>
      <c r="L26" s="355">
        <f>Input!$DY$14</f>
        <v>0</v>
      </c>
      <c r="M26" s="543">
        <f t="shared" si="3"/>
        <v>-1471237</v>
      </c>
      <c r="O26" s="430" t="s">
        <v>1002</v>
      </c>
      <c r="P26" s="305"/>
      <c r="Q26" s="422">
        <f>M36</f>
        <v>14189019</v>
      </c>
      <c r="R26" s="423"/>
      <c r="S26" s="546"/>
      <c r="U26" s="538" t="s">
        <v>1046</v>
      </c>
      <c r="V26" s="296"/>
      <c r="W26" s="296"/>
      <c r="X26" s="547">
        <f>(M21+M34)*-1</f>
        <v>0</v>
      </c>
      <c r="Y26" s="420"/>
      <c r="Z26" s="326"/>
    </row>
    <row r="27" spans="1:26" s="50" customFormat="1">
      <c r="A27" s="293"/>
      <c r="B27" s="51" t="s">
        <v>646</v>
      </c>
      <c r="C27" s="180"/>
      <c r="D27" s="355">
        <f>Input!$DZ$14</f>
        <v>0</v>
      </c>
      <c r="E27" s="355">
        <f>Input!$EA$14</f>
        <v>0</v>
      </c>
      <c r="F27" s="355">
        <f>Input!$EB$14</f>
        <v>0</v>
      </c>
      <c r="G27" s="355">
        <f>Input!$EC$14</f>
        <v>0</v>
      </c>
      <c r="H27" s="355">
        <f>Input!$ED$14</f>
        <v>0</v>
      </c>
      <c r="I27" s="355">
        <f>Input!$EE$14</f>
        <v>0</v>
      </c>
      <c r="J27" s="355">
        <f>Input!$EF$14</f>
        <v>0</v>
      </c>
      <c r="K27" s="355">
        <f>Input!$EG$14</f>
        <v>0</v>
      </c>
      <c r="L27" s="355">
        <f>Input!$EH$14</f>
        <v>0</v>
      </c>
      <c r="M27" s="543">
        <f t="shared" si="3"/>
        <v>0</v>
      </c>
      <c r="O27" s="430"/>
      <c r="P27" s="305"/>
      <c r="Q27" s="422"/>
      <c r="R27" s="423"/>
      <c r="S27" s="546"/>
      <c r="U27" s="621" t="s">
        <v>1047</v>
      </c>
      <c r="V27" s="221"/>
      <c r="W27" s="221"/>
      <c r="X27" s="625">
        <f>SUM(X25:X26)</f>
        <v>2449512</v>
      </c>
      <c r="Y27" s="626"/>
    </row>
    <row r="28" spans="1:26" s="50" customFormat="1">
      <c r="A28" s="293"/>
      <c r="B28" s="51" t="s">
        <v>1361</v>
      </c>
      <c r="C28" s="180"/>
      <c r="D28" s="355">
        <f>Input!$EI$14</f>
        <v>-1416951</v>
      </c>
      <c r="E28" s="355">
        <f>Input!$EJ$14</f>
        <v>-3445126</v>
      </c>
      <c r="F28" s="355">
        <f>Input!$EK$14</f>
        <v>0</v>
      </c>
      <c r="G28" s="355">
        <f>Input!$EL$14</f>
        <v>0</v>
      </c>
      <c r="H28" s="355">
        <f>Input!$EM$14</f>
        <v>0</v>
      </c>
      <c r="I28" s="355">
        <f>Input!$EN$14</f>
        <v>0</v>
      </c>
      <c r="J28" s="355">
        <f>Input!$EO$14</f>
        <v>0</v>
      </c>
      <c r="K28" s="355">
        <f>Input!$EP$14</f>
        <v>0</v>
      </c>
      <c r="L28" s="355">
        <f>Input!$EQ$14</f>
        <v>0</v>
      </c>
      <c r="M28" s="543">
        <f t="shared" si="3"/>
        <v>-4862077</v>
      </c>
      <c r="O28" s="418" t="s">
        <v>1003</v>
      </c>
      <c r="Q28" s="425"/>
      <c r="R28" s="342">
        <f>SUM(M37:M41)</f>
        <v>-978275</v>
      </c>
      <c r="S28" s="540"/>
      <c r="U28" s="538" t="s">
        <v>1048</v>
      </c>
      <c r="V28" s="296"/>
      <c r="W28" s="296"/>
      <c r="X28" s="420">
        <f>(M27+M40)*-1</f>
        <v>0</v>
      </c>
      <c r="Y28" s="626"/>
      <c r="Z28" s="326"/>
    </row>
    <row r="29" spans="1:26" s="50" customFormat="1" ht="12" customHeight="1">
      <c r="A29" s="293"/>
      <c r="B29" s="551" t="s">
        <v>37</v>
      </c>
      <c r="C29" s="179"/>
      <c r="D29" s="356">
        <f t="shared" ref="D29:L29" si="4">SUM(D23:D28)</f>
        <v>15488933</v>
      </c>
      <c r="E29" s="356">
        <f t="shared" si="4"/>
        <v>23291134</v>
      </c>
      <c r="F29" s="356">
        <f t="shared" si="4"/>
        <v>0</v>
      </c>
      <c r="G29" s="356">
        <f t="shared" si="4"/>
        <v>0</v>
      </c>
      <c r="H29" s="356">
        <f t="shared" si="4"/>
        <v>0</v>
      </c>
      <c r="I29" s="356">
        <f t="shared" si="4"/>
        <v>0</v>
      </c>
      <c r="J29" s="356">
        <f t="shared" si="4"/>
        <v>0</v>
      </c>
      <c r="K29" s="356">
        <f t="shared" si="4"/>
        <v>0</v>
      </c>
      <c r="L29" s="356">
        <f t="shared" si="4"/>
        <v>0</v>
      </c>
      <c r="M29" s="356">
        <f t="shared" si="3"/>
        <v>38780067</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59302400</v>
      </c>
      <c r="R30" s="429">
        <f>R28+R24</f>
        <v>-7311589</v>
      </c>
      <c r="S30" s="553"/>
      <c r="U30" s="621" t="s">
        <v>1050</v>
      </c>
      <c r="V30" s="221"/>
      <c r="W30" s="221"/>
      <c r="X30" s="625">
        <f>SUM(X28:X29)</f>
        <v>0</v>
      </c>
      <c r="Y30" s="626"/>
    </row>
    <row r="31" spans="1:26" s="50" customFormat="1" ht="12.75" customHeight="1">
      <c r="A31" s="293"/>
      <c r="B31" s="536" t="s">
        <v>1005</v>
      </c>
      <c r="C31" s="536"/>
      <c r="D31" s="356">
        <f t="shared" ref="D31:L31" si="5">D36-SUM(D32:D35)</f>
        <v>0</v>
      </c>
      <c r="E31" s="356">
        <f t="shared" si="5"/>
        <v>14189019</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14189019</v>
      </c>
      <c r="O31" s="430" t="s">
        <v>217</v>
      </c>
      <c r="P31" s="305"/>
      <c r="Q31" s="349"/>
      <c r="R31" s="305"/>
      <c r="S31" s="540"/>
      <c r="U31" s="548" t="s">
        <v>1051</v>
      </c>
      <c r="V31" s="549"/>
      <c r="W31" s="549"/>
      <c r="X31" s="550">
        <f>X27+X30</f>
        <v>2449512</v>
      </c>
      <c r="Y31" s="420"/>
      <c r="Z31" s="326"/>
    </row>
    <row r="32" spans="1:26" s="50" customFormat="1" ht="12.75" customHeight="1">
      <c r="A32" s="293"/>
      <c r="B32" s="51" t="s">
        <v>638</v>
      </c>
      <c r="C32" s="51"/>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43">
        <f t="shared" si="6"/>
        <v>0</v>
      </c>
      <c r="O32" s="431" t="s">
        <v>1245</v>
      </c>
      <c r="P32" s="432"/>
      <c r="Q32" s="433">
        <f>Input!$TI$14</f>
        <v>59302400</v>
      </c>
      <c r="R32" s="432"/>
      <c r="S32" s="554"/>
      <c r="U32" s="538"/>
      <c r="V32" s="296"/>
      <c r="W32" s="296"/>
      <c r="Y32" s="420"/>
      <c r="Z32" s="326"/>
    </row>
    <row r="33" spans="1:28" s="50" customFormat="1">
      <c r="A33" s="293"/>
      <c r="B33" s="51" t="s">
        <v>639</v>
      </c>
      <c r="C33" s="51"/>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43">
        <f t="shared" si="6"/>
        <v>0</v>
      </c>
      <c r="O33" s="431"/>
      <c r="P33" s="432"/>
      <c r="Q33" s="342"/>
      <c r="R33" s="432"/>
      <c r="S33" s="554"/>
      <c r="U33" s="538" t="s">
        <v>1004</v>
      </c>
      <c r="V33" s="296"/>
      <c r="W33" s="296"/>
      <c r="X33" s="347">
        <f>(M19+M32)*-1</f>
        <v>3137114</v>
      </c>
      <c r="Y33" s="420"/>
    </row>
    <row r="34" spans="1:28" s="50" customFormat="1">
      <c r="A34" s="293"/>
      <c r="B34" s="51" t="s">
        <v>640</v>
      </c>
      <c r="C34" s="51"/>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43">
        <f t="shared" si="6"/>
        <v>0</v>
      </c>
      <c r="O34" s="434" t="s">
        <v>1246</v>
      </c>
      <c r="P34" s="435"/>
      <c r="Q34" s="50" t="s">
        <v>218</v>
      </c>
      <c r="R34" s="433">
        <f>Input!$TJ$14</f>
        <v>-7311589</v>
      </c>
      <c r="S34" s="555"/>
      <c r="U34" s="538" t="s">
        <v>1052</v>
      </c>
      <c r="V34" s="296"/>
      <c r="W34" s="296"/>
      <c r="X34" s="426">
        <f>(M24+M37)*-1</f>
        <v>0</v>
      </c>
      <c r="Y34" s="420"/>
    </row>
    <row r="35" spans="1:28" s="50" customFormat="1" ht="13.5" thickBot="1">
      <c r="A35" s="293"/>
      <c r="B35" s="51" t="s">
        <v>641</v>
      </c>
      <c r="C35" s="51"/>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43">
        <f t="shared" si="6"/>
        <v>0</v>
      </c>
      <c r="O35" s="436" t="s">
        <v>219</v>
      </c>
      <c r="P35" s="437"/>
      <c r="Q35" s="438">
        <f>Q30-Q32</f>
        <v>0</v>
      </c>
      <c r="R35" s="439">
        <f>R30-R34</f>
        <v>0</v>
      </c>
      <c r="S35" s="556"/>
      <c r="U35" s="621" t="s">
        <v>1053</v>
      </c>
      <c r="V35" s="221"/>
      <c r="W35" s="221"/>
      <c r="X35" s="627">
        <f>SUM(X33:X34)</f>
        <v>3137114</v>
      </c>
      <c r="Y35" s="626"/>
    </row>
    <row r="36" spans="1:28" s="50" customFormat="1" ht="13.5" thickTop="1">
      <c r="A36" s="293"/>
      <c r="B36" s="536" t="s">
        <v>648</v>
      </c>
      <c r="C36" s="179"/>
      <c r="D36" s="541">
        <f>Input!$GB$14</f>
        <v>0</v>
      </c>
      <c r="E36" s="541">
        <f>Input!$GC$14</f>
        <v>14189019</v>
      </c>
      <c r="F36" s="541">
        <f>Input!$GD$14</f>
        <v>0</v>
      </c>
      <c r="G36" s="541">
        <f>Input!$GE$14</f>
        <v>0</v>
      </c>
      <c r="H36" s="541">
        <f>Input!$GF$14</f>
        <v>0</v>
      </c>
      <c r="I36" s="541">
        <f>Input!$GG$14</f>
        <v>0</v>
      </c>
      <c r="J36" s="541">
        <f>Input!$GH$14</f>
        <v>0</v>
      </c>
      <c r="K36" s="541">
        <f>Input!$GI$14</f>
        <v>0</v>
      </c>
      <c r="L36" s="541">
        <f>Input!$GJ$14</f>
        <v>0</v>
      </c>
      <c r="M36" s="542">
        <f t="shared" si="6"/>
        <v>14189019</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43">
        <f t="shared" si="6"/>
        <v>0</v>
      </c>
      <c r="O37" s="51"/>
      <c r="U37" s="538" t="s">
        <v>1054</v>
      </c>
      <c r="V37" s="296"/>
      <c r="W37" s="296"/>
      <c r="X37" s="426">
        <f>(M25+M38)*-1</f>
        <v>0</v>
      </c>
      <c r="Y37" s="626"/>
    </row>
    <row r="38" spans="1:28" s="50" customFormat="1">
      <c r="A38" s="293"/>
      <c r="B38" s="51" t="s">
        <v>644</v>
      </c>
      <c r="C38" s="180"/>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43">
        <f t="shared" si="6"/>
        <v>0</v>
      </c>
      <c r="O38" s="51"/>
      <c r="U38" s="621" t="s">
        <v>1055</v>
      </c>
      <c r="V38" s="221"/>
      <c r="W38" s="221"/>
      <c r="X38" s="627">
        <f>SUM(X36:X37)</f>
        <v>0</v>
      </c>
      <c r="Y38" s="420"/>
    </row>
    <row r="39" spans="1:28" s="50" customFormat="1">
      <c r="A39" s="293"/>
      <c r="B39" s="51" t="s">
        <v>645</v>
      </c>
      <c r="C39" s="180"/>
      <c r="D39" s="355">
        <f>Input!$HC$14</f>
        <v>0</v>
      </c>
      <c r="E39" s="355">
        <f>Input!$HD$14</f>
        <v>-978275</v>
      </c>
      <c r="F39" s="355">
        <f>Input!$HE$14</f>
        <v>0</v>
      </c>
      <c r="G39" s="355">
        <f>Input!$HF$14</f>
        <v>0</v>
      </c>
      <c r="H39" s="355">
        <f>Input!$HG$14</f>
        <v>0</v>
      </c>
      <c r="I39" s="355">
        <f>Input!$HH$14</f>
        <v>0</v>
      </c>
      <c r="J39" s="355">
        <f>Input!$HI$14</f>
        <v>0</v>
      </c>
      <c r="K39" s="355">
        <f>Input!$HJ$14</f>
        <v>0</v>
      </c>
      <c r="L39" s="355">
        <f>Input!$HK$14</f>
        <v>0</v>
      </c>
      <c r="M39" s="543">
        <f t="shared" si="6"/>
        <v>-978275</v>
      </c>
      <c r="O39" s="51"/>
      <c r="U39" s="538" t="s">
        <v>1007</v>
      </c>
      <c r="V39" s="296"/>
      <c r="W39" s="296"/>
      <c r="X39" s="347"/>
      <c r="Y39" s="420">
        <f>X38+X35</f>
        <v>3137114</v>
      </c>
    </row>
    <row r="40" spans="1:28" s="50" customFormat="1">
      <c r="A40" s="293"/>
      <c r="B40" s="51" t="s">
        <v>646</v>
      </c>
      <c r="C40" s="180"/>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43">
        <f t="shared" si="6"/>
        <v>0</v>
      </c>
      <c r="O40" s="51"/>
      <c r="U40" s="538"/>
      <c r="V40" s="51"/>
      <c r="W40" s="51"/>
      <c r="X40" s="51"/>
      <c r="Y40" s="626"/>
    </row>
    <row r="41" spans="1:28" s="50" customFormat="1">
      <c r="A41" s="293"/>
      <c r="B41" s="51" t="s">
        <v>1361</v>
      </c>
      <c r="C41" s="180"/>
      <c r="D41" s="355">
        <f>Input!$HU$14</f>
        <v>0</v>
      </c>
      <c r="E41" s="355">
        <f>Input!$HV$14</f>
        <v>0</v>
      </c>
      <c r="F41" s="355">
        <f>Input!$HW$14</f>
        <v>0</v>
      </c>
      <c r="G41" s="355">
        <f>Input!$HX$14</f>
        <v>0</v>
      </c>
      <c r="H41" s="355">
        <f>Input!$HY$14</f>
        <v>0</v>
      </c>
      <c r="I41" s="355">
        <f>Input!$HZ$14</f>
        <v>0</v>
      </c>
      <c r="J41" s="355">
        <f>Input!$IA$14</f>
        <v>0</v>
      </c>
      <c r="K41" s="355">
        <f>Input!$IB$14</f>
        <v>0</v>
      </c>
      <c r="L41" s="355">
        <f>Input!$IC$14</f>
        <v>0</v>
      </c>
      <c r="M41" s="543">
        <f t="shared" si="6"/>
        <v>0</v>
      </c>
      <c r="O41"/>
      <c r="P41"/>
      <c r="Q41"/>
      <c r="R41"/>
      <c r="S41"/>
      <c r="U41" s="538" t="s">
        <v>1046</v>
      </c>
      <c r="V41" s="296"/>
      <c r="W41" s="296"/>
      <c r="X41" s="326">
        <f>(M21+M34)*-1</f>
        <v>0</v>
      </c>
      <c r="Y41" s="420"/>
    </row>
    <row r="42" spans="1:28" s="50" customFormat="1">
      <c r="A42" s="293"/>
      <c r="B42" s="551" t="s">
        <v>38</v>
      </c>
      <c r="C42" s="179"/>
      <c r="D42" s="356">
        <f t="shared" ref="D42:L42" si="7">SUM(D36:D41)</f>
        <v>0</v>
      </c>
      <c r="E42" s="356">
        <f t="shared" si="7"/>
        <v>13210744</v>
      </c>
      <c r="F42" s="356">
        <f t="shared" si="7"/>
        <v>0</v>
      </c>
      <c r="G42" s="356">
        <f t="shared" si="7"/>
        <v>0</v>
      </c>
      <c r="H42" s="356">
        <f t="shared" si="7"/>
        <v>0</v>
      </c>
      <c r="I42" s="356">
        <f t="shared" si="7"/>
        <v>0</v>
      </c>
      <c r="J42" s="356">
        <f t="shared" si="7"/>
        <v>0</v>
      </c>
      <c r="K42" s="356">
        <f t="shared" si="7"/>
        <v>0</v>
      </c>
      <c r="L42" s="356">
        <f t="shared" si="7"/>
        <v>0</v>
      </c>
      <c r="M42" s="356">
        <f t="shared" si="6"/>
        <v>13210744</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15488933</v>
      </c>
      <c r="E44" s="356">
        <f t="shared" si="8"/>
        <v>36501878</v>
      </c>
      <c r="F44" s="356">
        <f t="shared" si="8"/>
        <v>0</v>
      </c>
      <c r="G44" s="356">
        <f t="shared" si="8"/>
        <v>0</v>
      </c>
      <c r="H44" s="356">
        <f t="shared" si="8"/>
        <v>0</v>
      </c>
      <c r="I44" s="356">
        <f t="shared" si="8"/>
        <v>0</v>
      </c>
      <c r="J44" s="356">
        <f t="shared" si="8"/>
        <v>0</v>
      </c>
      <c r="K44" s="356">
        <f t="shared" si="8"/>
        <v>0</v>
      </c>
      <c r="L44" s="356">
        <f t="shared" si="8"/>
        <v>0</v>
      </c>
      <c r="M44" s="356">
        <f>D44+E44+F44+G44+H44+I44+J44+K44+L44</f>
        <v>51990811</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Input!$ID$14</f>
        <v>0</v>
      </c>
      <c r="E47" s="358">
        <f>Input!$IE$14</f>
        <v>1285018</v>
      </c>
      <c r="F47" s="358">
        <f>Input!$IF$14</f>
        <v>0</v>
      </c>
      <c r="G47" s="358">
        <f>Input!$IG$14</f>
        <v>18303977</v>
      </c>
      <c r="H47" s="358">
        <f>Input!$IH$14</f>
        <v>10401</v>
      </c>
      <c r="I47" s="358">
        <f>Input!$II$14</f>
        <v>0</v>
      </c>
      <c r="J47" s="358">
        <f>Input!$IJ$14</f>
        <v>0</v>
      </c>
      <c r="K47" s="358">
        <f>Input!$IK$14</f>
        <v>0</v>
      </c>
      <c r="L47" s="358">
        <f>Input!$IL$14</f>
        <v>0</v>
      </c>
      <c r="M47" s="356">
        <f>D47+E47+F47+G47+H47+I47+J47+K47+L47</f>
        <v>19599396</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62439514</v>
      </c>
      <c r="Z49" s="50"/>
      <c r="AA49" s="50"/>
      <c r="AB49" s="50"/>
    </row>
    <row r="50" spans="1:28" s="149" customFormat="1">
      <c r="A50" s="147">
        <v>33</v>
      </c>
      <c r="B50" s="158" t="s">
        <v>56</v>
      </c>
      <c r="C50" s="158"/>
      <c r="D50" s="358">
        <f>Input!$IM$14</f>
        <v>0</v>
      </c>
      <c r="E50" s="358">
        <f>Input!$IN$14</f>
        <v>114908206</v>
      </c>
      <c r="F50" s="358">
        <f>Input!$IO$14</f>
        <v>0</v>
      </c>
      <c r="G50" s="358">
        <f>Input!$IP$14</f>
        <v>106629573</v>
      </c>
      <c r="H50" s="358">
        <f>Input!$IQ$14</f>
        <v>0</v>
      </c>
      <c r="I50" s="358">
        <f>Input!$IR$14</f>
        <v>0</v>
      </c>
      <c r="J50" s="358">
        <f>Input!$IS$14</f>
        <v>0</v>
      </c>
      <c r="K50" s="358">
        <f>Input!$IT$14</f>
        <v>0</v>
      </c>
      <c r="L50" s="358">
        <f>Input!$IU$14</f>
        <v>0</v>
      </c>
      <c r="M50" s="356">
        <f>D50+E50+F50+G50+H50+I50+J50+K50+L50</f>
        <v>221537779</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Input!$IV$14</f>
        <v>0</v>
      </c>
      <c r="E53" s="358">
        <f>Input!$IW$14</f>
        <v>0</v>
      </c>
      <c r="F53" s="358">
        <f>Input!$IX$14</f>
        <v>0</v>
      </c>
      <c r="G53" s="358">
        <f>Input!$IY$14</f>
        <v>0</v>
      </c>
      <c r="H53" s="358">
        <f>Input!$IZ$14</f>
        <v>0</v>
      </c>
      <c r="I53" s="358">
        <f>Input!$JA$14</f>
        <v>0</v>
      </c>
      <c r="J53" s="358">
        <f>Input!$JB$14</f>
        <v>0</v>
      </c>
      <c r="K53" s="358">
        <f>Input!$JC$14</f>
        <v>0</v>
      </c>
      <c r="L53" s="358">
        <f>Input!$JD$14</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Input!$JE$14</f>
        <v>499976</v>
      </c>
      <c r="E56" s="355">
        <f>Input!$JF$14</f>
        <v>7521288</v>
      </c>
      <c r="F56" s="355">
        <f>Input!$JG$14</f>
        <v>38908</v>
      </c>
      <c r="G56" s="355">
        <f>Input!$JH$14</f>
        <v>5041200</v>
      </c>
      <c r="H56" s="355">
        <f>Input!$JI$14</f>
        <v>74432</v>
      </c>
      <c r="I56" s="355">
        <f>Input!$JJ$14</f>
        <v>-1231889</v>
      </c>
      <c r="J56" s="355">
        <f>Input!$JK$14</f>
        <v>745259</v>
      </c>
      <c r="K56" s="355">
        <f>Input!$JL$14</f>
        <v>0</v>
      </c>
      <c r="L56" s="355">
        <f>Input!$JM$14</f>
        <v>0</v>
      </c>
      <c r="M56" s="357">
        <f t="shared" ref="M56:M62" si="9">D56+E56+F56+G56+H56+I56+J56+K56+L56</f>
        <v>12689174</v>
      </c>
      <c r="O56" s="51"/>
      <c r="P56" s="50"/>
      <c r="Q56" s="50"/>
      <c r="R56" s="50"/>
      <c r="S56" s="50"/>
      <c r="T56" s="50"/>
      <c r="U56" s="50"/>
      <c r="V56" s="50"/>
      <c r="W56" s="50"/>
      <c r="X56" s="306"/>
      <c r="Y56" s="50"/>
      <c r="Z56" s="50"/>
      <c r="AA56" s="50"/>
      <c r="AB56" s="50"/>
    </row>
    <row r="57" spans="1:28" s="149" customFormat="1">
      <c r="A57" s="147">
        <v>40</v>
      </c>
      <c r="B57" s="149" t="s">
        <v>9</v>
      </c>
      <c r="D57" s="355">
        <f>Input!$JN$14</f>
        <v>0</v>
      </c>
      <c r="E57" s="355">
        <f>Input!$JO$14</f>
        <v>27850309</v>
      </c>
      <c r="F57" s="355">
        <f>Input!$JP$14</f>
        <v>0</v>
      </c>
      <c r="G57" s="355">
        <f>Input!$JQ$14</f>
        <v>31077251</v>
      </c>
      <c r="H57" s="355">
        <f>Input!$JR$14</f>
        <v>0</v>
      </c>
      <c r="I57" s="355">
        <f>Input!$JS$14</f>
        <v>0</v>
      </c>
      <c r="J57" s="355">
        <f>Input!$JT$14</f>
        <v>0</v>
      </c>
      <c r="K57" s="355">
        <f>Input!$JU$14</f>
        <v>0</v>
      </c>
      <c r="L57" s="355">
        <f>Input!$JV$14</f>
        <v>0</v>
      </c>
      <c r="M57" s="357">
        <f t="shared" si="9"/>
        <v>58927560</v>
      </c>
      <c r="O57" s="50"/>
      <c r="P57" s="307"/>
      <c r="Q57" s="50"/>
      <c r="R57" s="50"/>
      <c r="S57" s="50"/>
      <c r="T57" s="50"/>
      <c r="U57" s="50"/>
      <c r="V57" s="50"/>
      <c r="W57" s="50"/>
      <c r="X57" s="50"/>
      <c r="Y57" s="50"/>
      <c r="Z57" s="50"/>
      <c r="AA57" s="50"/>
      <c r="AB57" s="50"/>
    </row>
    <row r="58" spans="1:28" s="149" customFormat="1">
      <c r="A58" s="147">
        <v>41</v>
      </c>
      <c r="B58" s="149" t="s">
        <v>10</v>
      </c>
      <c r="D58" s="355">
        <f>Input!$JW$14</f>
        <v>12000</v>
      </c>
      <c r="E58" s="355">
        <f>Input!$JX$14</f>
        <v>41889115</v>
      </c>
      <c r="F58" s="355">
        <f>Input!$JY$14</f>
        <v>0</v>
      </c>
      <c r="G58" s="355">
        <f>Input!$JZ$14</f>
        <v>45698641</v>
      </c>
      <c r="H58" s="355">
        <f>Input!$KA$14</f>
        <v>0</v>
      </c>
      <c r="I58" s="355">
        <f>Input!$KB$14</f>
        <v>0</v>
      </c>
      <c r="J58" s="355">
        <f>Input!$KC$14</f>
        <v>500</v>
      </c>
      <c r="K58" s="355">
        <f>Input!$KD$14</f>
        <v>0</v>
      </c>
      <c r="L58" s="355">
        <f>Input!$KE$14</f>
        <v>0</v>
      </c>
      <c r="M58" s="357">
        <f t="shared" si="9"/>
        <v>87600256</v>
      </c>
      <c r="O58" s="302"/>
      <c r="P58" s="50"/>
      <c r="Q58" s="50"/>
      <c r="R58" s="50"/>
      <c r="S58" s="50"/>
      <c r="T58" s="50"/>
      <c r="U58" s="50"/>
      <c r="V58" s="50"/>
      <c r="W58" s="50"/>
      <c r="X58" s="50"/>
      <c r="Y58" s="50"/>
      <c r="Z58" s="50"/>
      <c r="AA58" s="50"/>
      <c r="AB58" s="50"/>
    </row>
    <row r="59" spans="1:28" s="149" customFormat="1" ht="13.5" thickBot="1">
      <c r="A59" s="147">
        <v>42</v>
      </c>
      <c r="B59" s="149" t="s">
        <v>54</v>
      </c>
      <c r="D59" s="355">
        <f>Input!$KF$14</f>
        <v>0</v>
      </c>
      <c r="E59" s="355">
        <f>Input!$KG$14</f>
        <v>10354743</v>
      </c>
      <c r="F59" s="355">
        <f>Input!$KH$14</f>
        <v>0</v>
      </c>
      <c r="G59" s="355">
        <f>Input!$KI$14</f>
        <v>729555</v>
      </c>
      <c r="H59" s="355">
        <f>Input!$KJ$14</f>
        <v>0</v>
      </c>
      <c r="I59" s="355">
        <f>Input!$KK$14</f>
        <v>0</v>
      </c>
      <c r="J59" s="355">
        <f>Input!$KL$14</f>
        <v>0</v>
      </c>
      <c r="K59" s="355">
        <f>Input!$KM$14</f>
        <v>0</v>
      </c>
      <c r="L59" s="355">
        <f>Input!$KN$14</f>
        <v>0</v>
      </c>
      <c r="M59" s="357">
        <f t="shared" si="9"/>
        <v>11084298</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Input!$KO$14</f>
        <v>0</v>
      </c>
      <c r="E60" s="355">
        <f>Input!$KP$14</f>
        <v>0</v>
      </c>
      <c r="F60" s="355">
        <f>Input!$KQ$14</f>
        <v>828063</v>
      </c>
      <c r="G60" s="355">
        <f>Input!$KR$14</f>
        <v>0</v>
      </c>
      <c r="H60" s="355">
        <f>Input!$KS$14</f>
        <v>0</v>
      </c>
      <c r="I60" s="355">
        <f>Input!$KT$14</f>
        <v>0</v>
      </c>
      <c r="J60" s="355">
        <f>Input!$KU$14</f>
        <v>0</v>
      </c>
      <c r="K60" s="355">
        <f>Input!$KV$14</f>
        <v>0</v>
      </c>
      <c r="L60" s="355">
        <f>Input!$KW$14</f>
        <v>0</v>
      </c>
      <c r="M60" s="357">
        <f t="shared" si="9"/>
        <v>828063</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Input!$KX$14</f>
        <v>39</v>
      </c>
      <c r="E61" s="355">
        <f>Input!$KY$14</f>
        <v>22927833</v>
      </c>
      <c r="F61" s="355">
        <f>Input!$KZ$14</f>
        <v>0</v>
      </c>
      <c r="G61" s="355">
        <f>Input!$LA$14</f>
        <v>1524</v>
      </c>
      <c r="H61" s="355">
        <f>Input!$LB$14</f>
        <v>-84316</v>
      </c>
      <c r="I61" s="355">
        <f>Input!$LC$14</f>
        <v>0</v>
      </c>
      <c r="J61" s="355">
        <f>Input!$LD$14</f>
        <v>-165</v>
      </c>
      <c r="K61" s="355">
        <f>Input!$LE$14</f>
        <v>0</v>
      </c>
      <c r="L61" s="355">
        <f>Input!$LF$14</f>
        <v>0</v>
      </c>
      <c r="M61" s="357">
        <f t="shared" si="9"/>
        <v>22844915</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512015</v>
      </c>
      <c r="E62" s="356">
        <f t="shared" si="10"/>
        <v>110543288</v>
      </c>
      <c r="F62" s="356">
        <f t="shared" si="10"/>
        <v>866971</v>
      </c>
      <c r="G62" s="356">
        <f t="shared" si="10"/>
        <v>82548171</v>
      </c>
      <c r="H62" s="356">
        <f t="shared" si="10"/>
        <v>-9884</v>
      </c>
      <c r="I62" s="356">
        <f t="shared" si="10"/>
        <v>-1231889</v>
      </c>
      <c r="J62" s="356">
        <f t="shared" si="10"/>
        <v>745594</v>
      </c>
      <c r="K62" s="356">
        <f t="shared" si="10"/>
        <v>0</v>
      </c>
      <c r="L62" s="356">
        <f t="shared" si="10"/>
        <v>0</v>
      </c>
      <c r="M62" s="356">
        <f t="shared" si="9"/>
        <v>193974266</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198822477</v>
      </c>
      <c r="E63" s="356">
        <f t="shared" ref="E63:M63" si="11">E15+E44+E47+E50+E53+E62</f>
        <v>263321242</v>
      </c>
      <c r="F63" s="356">
        <f t="shared" si="11"/>
        <v>866971</v>
      </c>
      <c r="G63" s="356">
        <f t="shared" si="11"/>
        <v>226197344</v>
      </c>
      <c r="H63" s="356">
        <f t="shared" si="11"/>
        <v>517</v>
      </c>
      <c r="I63" s="356">
        <f t="shared" si="11"/>
        <v>-1231889</v>
      </c>
      <c r="J63" s="356">
        <f t="shared" si="11"/>
        <v>745594</v>
      </c>
      <c r="K63" s="356">
        <f t="shared" si="11"/>
        <v>0</v>
      </c>
      <c r="L63" s="356">
        <f t="shared" si="11"/>
        <v>0</v>
      </c>
      <c r="M63" s="356">
        <f t="shared" si="11"/>
        <v>688722256</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Input!$LG$14</f>
        <v>71592577</v>
      </c>
      <c r="E65" s="355">
        <f>Input!$LH$14</f>
        <v>74493007</v>
      </c>
      <c r="F65" s="355">
        <f>Input!$LI$14</f>
        <v>0</v>
      </c>
      <c r="G65" s="355">
        <f>Input!$LJ$14</f>
        <v>56057294</v>
      </c>
      <c r="H65" s="355">
        <f>Input!$LK$14</f>
        <v>0</v>
      </c>
      <c r="I65" s="355">
        <f>Input!$LL$14</f>
        <v>0</v>
      </c>
      <c r="J65" s="355">
        <f>Input!$LM$14</f>
        <v>0</v>
      </c>
      <c r="K65" s="355">
        <f>Input!$LN$14</f>
        <v>0</v>
      </c>
      <c r="L65" s="355">
        <f>Input!$LO$14</f>
        <v>0</v>
      </c>
      <c r="M65" s="357">
        <f t="shared" ref="M65:M77" si="12">D65+E65+F65+G65+H65+I65+J65+K65+L65</f>
        <v>202142878</v>
      </c>
      <c r="O65" s="310">
        <f>D65+E65+G65</f>
        <v>202142878</v>
      </c>
      <c r="P65" s="311">
        <f>Input!$TK$14</f>
        <v>147422</v>
      </c>
      <c r="Q65" s="311">
        <f>Input!$TU$14</f>
        <v>23927</v>
      </c>
      <c r="R65" s="311">
        <f>Input!$UD$14</f>
        <v>0</v>
      </c>
      <c r="S65" s="312">
        <f>O65+P65-Q65-R65</f>
        <v>202266373</v>
      </c>
      <c r="T65" s="313"/>
      <c r="U65" s="494">
        <f>D65+E65+F65+G65+J65</f>
        <v>202142878</v>
      </c>
      <c r="V65" s="313"/>
      <c r="W65" s="314" t="s">
        <v>14</v>
      </c>
      <c r="X65" s="487">
        <f>Input!$UO$14</f>
        <v>202142878</v>
      </c>
      <c r="Y65" s="315">
        <f t="shared" ref="Y65:Y74" si="13">X65-M65</f>
        <v>0</v>
      </c>
      <c r="Z65" s="313"/>
      <c r="AA65" s="313"/>
      <c r="AB65" s="313"/>
    </row>
    <row r="66" spans="1:28" s="149" customFormat="1" ht="14.25" thickTop="1" thickBot="1">
      <c r="A66" s="147">
        <v>49</v>
      </c>
      <c r="B66" s="161" t="s">
        <v>15</v>
      </c>
      <c r="C66" s="161"/>
      <c r="D66" s="355">
        <f>Input!$LP$14</f>
        <v>10859143</v>
      </c>
      <c r="E66" s="355">
        <f>Input!$LQ$14</f>
        <v>10376350</v>
      </c>
      <c r="F66" s="355">
        <f>Input!$LR$14</f>
        <v>0</v>
      </c>
      <c r="G66" s="355">
        <f>Input!$LS$14</f>
        <v>12701161</v>
      </c>
      <c r="H66" s="355">
        <f>Input!$LT$14</f>
        <v>0</v>
      </c>
      <c r="I66" s="355">
        <f>Input!$LU$14</f>
        <v>0</v>
      </c>
      <c r="J66" s="355">
        <f>Input!$LV$14</f>
        <v>514</v>
      </c>
      <c r="K66" s="355">
        <f>Input!$LW$14</f>
        <v>0</v>
      </c>
      <c r="L66" s="355">
        <f>Input!$LX$14</f>
        <v>0</v>
      </c>
      <c r="M66" s="357">
        <f t="shared" si="12"/>
        <v>33937168</v>
      </c>
      <c r="O66" s="316">
        <f t="shared" ref="O66:O72" si="14">D66+E66+G66</f>
        <v>33936654</v>
      </c>
      <c r="P66" s="317">
        <f>Input!$TL$14</f>
        <v>1139473</v>
      </c>
      <c r="Q66" s="317">
        <f>Input!$TV$14</f>
        <v>83348</v>
      </c>
      <c r="R66" s="317">
        <f>Input!$UE$14</f>
        <v>8949</v>
      </c>
      <c r="S66" s="318">
        <f>O66+P66-Q66-R66</f>
        <v>34983830</v>
      </c>
      <c r="T66" s="313"/>
      <c r="U66" s="495">
        <f t="shared" ref="U66:U76" si="15">D66+E66+F66+G66+J66</f>
        <v>33937168</v>
      </c>
      <c r="V66" s="313"/>
      <c r="W66" s="314" t="s">
        <v>15</v>
      </c>
      <c r="X66" s="363">
        <f>Input!$UP$14</f>
        <v>33937168</v>
      </c>
      <c r="Y66" s="319">
        <f t="shared" si="13"/>
        <v>0</v>
      </c>
      <c r="Z66" s="320"/>
      <c r="AA66" s="320"/>
      <c r="AB66" s="320"/>
    </row>
    <row r="67" spans="1:28" s="149" customFormat="1" ht="13.5" thickTop="1">
      <c r="A67" s="147">
        <v>50</v>
      </c>
      <c r="B67" s="161" t="s">
        <v>16</v>
      </c>
      <c r="C67" s="161"/>
      <c r="D67" s="355">
        <f>Input!$LY$14</f>
        <v>4409679</v>
      </c>
      <c r="E67" s="355">
        <f>Input!$LZ$14</f>
        <v>2726864</v>
      </c>
      <c r="F67" s="355">
        <f>Input!$MA$14</f>
        <v>0</v>
      </c>
      <c r="G67" s="355">
        <f>Input!$MB$14</f>
        <v>124880453</v>
      </c>
      <c r="H67" s="355">
        <f>Input!$MC$14</f>
        <v>0</v>
      </c>
      <c r="I67" s="355">
        <f>Input!$MD$14</f>
        <v>0</v>
      </c>
      <c r="J67" s="355">
        <f>Input!$ME$14</f>
        <v>28675</v>
      </c>
      <c r="K67" s="355">
        <f>Input!$MF$14</f>
        <v>0</v>
      </c>
      <c r="L67" s="355">
        <f>Input!$MG$14</f>
        <v>0</v>
      </c>
      <c r="M67" s="357">
        <f t="shared" si="12"/>
        <v>132045671</v>
      </c>
      <c r="O67" s="316">
        <f t="shared" si="14"/>
        <v>132016996</v>
      </c>
      <c r="P67" s="317">
        <f>Input!$TM$14</f>
        <v>292522</v>
      </c>
      <c r="Q67" s="317">
        <f>Input!$TW$14</f>
        <v>266581</v>
      </c>
      <c r="R67" s="317">
        <f>Input!$UF$14</f>
        <v>11068</v>
      </c>
      <c r="S67" s="321">
        <f t="shared" ref="S67:S72" si="16">O67+P67-Q67-R67</f>
        <v>132031869</v>
      </c>
      <c r="T67" s="320"/>
      <c r="U67" s="495">
        <f t="shared" si="15"/>
        <v>132045671</v>
      </c>
      <c r="V67" s="320"/>
      <c r="W67" s="314" t="s">
        <v>16</v>
      </c>
      <c r="X67" s="363">
        <f>Input!$UQ$14</f>
        <v>132045671</v>
      </c>
      <c r="Y67" s="319">
        <f t="shared" si="13"/>
        <v>0</v>
      </c>
      <c r="Z67" s="320"/>
      <c r="AA67" s="320"/>
      <c r="AB67" s="320"/>
    </row>
    <row r="68" spans="1:28" s="149" customFormat="1">
      <c r="A68" s="147">
        <v>51</v>
      </c>
      <c r="B68" s="161" t="s">
        <v>55</v>
      </c>
      <c r="C68" s="161"/>
      <c r="D68" s="355">
        <f>Input!$MH$14</f>
        <v>1243940</v>
      </c>
      <c r="E68" s="355">
        <f>Input!$MI$14</f>
        <v>65804291</v>
      </c>
      <c r="F68" s="355">
        <f>Input!$MJ$14</f>
        <v>0</v>
      </c>
      <c r="G68" s="355">
        <f>Input!$MK$14</f>
        <v>11260066</v>
      </c>
      <c r="H68" s="355">
        <f>Input!$ML$14</f>
        <v>0</v>
      </c>
      <c r="I68" s="355">
        <f>Input!$MM$14</f>
        <v>0</v>
      </c>
      <c r="J68" s="355">
        <f>Input!$MN$14</f>
        <v>0</v>
      </c>
      <c r="K68" s="355">
        <f>Input!$MO$14</f>
        <v>0</v>
      </c>
      <c r="L68" s="355">
        <f>Input!$MP$14</f>
        <v>0</v>
      </c>
      <c r="M68" s="357">
        <f t="shared" si="12"/>
        <v>78308297</v>
      </c>
      <c r="O68" s="316">
        <f t="shared" si="14"/>
        <v>78308297</v>
      </c>
      <c r="P68" s="317">
        <f>Input!$TN$14</f>
        <v>96208</v>
      </c>
      <c r="Q68" s="317">
        <f>Input!$TX$14</f>
        <v>0</v>
      </c>
      <c r="R68" s="317">
        <f>Input!$UG$14</f>
        <v>0</v>
      </c>
      <c r="S68" s="321">
        <f t="shared" si="16"/>
        <v>78404505</v>
      </c>
      <c r="T68" s="320"/>
      <c r="U68" s="495">
        <f t="shared" si="15"/>
        <v>78308297</v>
      </c>
      <c r="V68" s="320"/>
      <c r="W68" s="314" t="s">
        <v>55</v>
      </c>
      <c r="X68" s="363">
        <f>Input!$UR$14</f>
        <v>78308297</v>
      </c>
      <c r="Y68" s="319">
        <f t="shared" si="13"/>
        <v>0</v>
      </c>
      <c r="Z68" s="320"/>
      <c r="AA68" s="320"/>
      <c r="AB68" s="320"/>
    </row>
    <row r="69" spans="1:28" s="149" customFormat="1">
      <c r="A69" s="147">
        <v>52</v>
      </c>
      <c r="B69" s="161" t="s">
        <v>17</v>
      </c>
      <c r="C69" s="161"/>
      <c r="D69" s="355">
        <f>Input!$MQ$14</f>
        <v>44987957</v>
      </c>
      <c r="E69" s="355">
        <f>Input!$MR$14</f>
        <v>66943437</v>
      </c>
      <c r="F69" s="355">
        <f>Input!$MS$14</f>
        <v>0</v>
      </c>
      <c r="G69" s="355">
        <f>Input!$MT$14</f>
        <v>3231524</v>
      </c>
      <c r="H69" s="355">
        <f>Input!$MU$14</f>
        <v>0</v>
      </c>
      <c r="I69" s="355">
        <f>Input!$MV$14</f>
        <v>0</v>
      </c>
      <c r="J69" s="355">
        <f>Input!$MW$14</f>
        <v>3650524</v>
      </c>
      <c r="K69" s="355">
        <f>Input!$MX$14</f>
        <v>0</v>
      </c>
      <c r="L69" s="355">
        <f>Input!$MY$14</f>
        <v>0</v>
      </c>
      <c r="M69" s="357">
        <f t="shared" si="12"/>
        <v>118813442</v>
      </c>
      <c r="O69" s="316">
        <f t="shared" si="14"/>
        <v>115162918</v>
      </c>
      <c r="P69" s="317">
        <f>Input!$TO$14</f>
        <v>950339</v>
      </c>
      <c r="Q69" s="317">
        <f>Input!$TY$14</f>
        <v>0</v>
      </c>
      <c r="R69" s="317">
        <f>Input!$UH$14</f>
        <v>0</v>
      </c>
      <c r="S69" s="321">
        <f t="shared" si="16"/>
        <v>116113257</v>
      </c>
      <c r="T69" s="320"/>
      <c r="U69" s="495">
        <f t="shared" si="15"/>
        <v>118813442</v>
      </c>
      <c r="V69" s="320"/>
      <c r="W69" s="314" t="s">
        <v>17</v>
      </c>
      <c r="X69" s="363">
        <f>Input!$US$14</f>
        <v>118813442</v>
      </c>
      <c r="Y69" s="319">
        <f t="shared" si="13"/>
        <v>0</v>
      </c>
      <c r="Z69" s="320"/>
      <c r="AA69" s="320"/>
      <c r="AB69" s="320"/>
    </row>
    <row r="70" spans="1:28" s="149" customFormat="1">
      <c r="A70" s="147">
        <v>53</v>
      </c>
      <c r="B70" s="161" t="s">
        <v>18</v>
      </c>
      <c r="C70" s="161"/>
      <c r="D70" s="355">
        <f>Input!$MZ$14</f>
        <v>1619340</v>
      </c>
      <c r="E70" s="355">
        <f>Input!$NA$14</f>
        <v>13413782</v>
      </c>
      <c r="F70" s="355">
        <f>Input!$NB$14</f>
        <v>0</v>
      </c>
      <c r="G70" s="355">
        <f>Input!$NC$14</f>
        <v>3633</v>
      </c>
      <c r="H70" s="355">
        <f>Input!$ND$14</f>
        <v>145080</v>
      </c>
      <c r="I70" s="355">
        <f>Input!$NE$14</f>
        <v>0</v>
      </c>
      <c r="J70" s="355">
        <f>Input!$NF$14</f>
        <v>0</v>
      </c>
      <c r="K70" s="355">
        <f>Input!$NG$14</f>
        <v>0</v>
      </c>
      <c r="L70" s="355">
        <f>Input!$NH$14</f>
        <v>0</v>
      </c>
      <c r="M70" s="357">
        <f t="shared" si="12"/>
        <v>15181835</v>
      </c>
      <c r="O70" s="316">
        <f t="shared" si="14"/>
        <v>15036755</v>
      </c>
      <c r="P70" s="317">
        <f>Input!$TP$14</f>
        <v>72394</v>
      </c>
      <c r="Q70" s="317">
        <f>Input!$TZ$14</f>
        <v>0</v>
      </c>
      <c r="R70" s="317">
        <f>Input!$UI$14</f>
        <v>0</v>
      </c>
      <c r="S70" s="321">
        <f t="shared" si="16"/>
        <v>15109149</v>
      </c>
      <c r="T70" s="320"/>
      <c r="U70" s="495">
        <f t="shared" si="15"/>
        <v>15036755</v>
      </c>
      <c r="V70" s="320"/>
      <c r="W70" s="314" t="s">
        <v>18</v>
      </c>
      <c r="X70" s="363">
        <f>Input!$UT$14</f>
        <v>15181835</v>
      </c>
      <c r="Y70" s="319">
        <f t="shared" si="13"/>
        <v>0</v>
      </c>
      <c r="Z70" s="320"/>
      <c r="AA70" s="320"/>
      <c r="AB70" s="320"/>
    </row>
    <row r="71" spans="1:28" s="149" customFormat="1">
      <c r="A71" s="147">
        <v>54</v>
      </c>
      <c r="B71" s="161" t="s">
        <v>19</v>
      </c>
      <c r="C71" s="161"/>
      <c r="D71" s="355">
        <f>Input!$NI$14</f>
        <v>20499540</v>
      </c>
      <c r="E71" s="355">
        <f>Input!$NJ$14</f>
        <v>6612343</v>
      </c>
      <c r="F71" s="355">
        <f>Input!$NK$14</f>
        <v>0</v>
      </c>
      <c r="G71" s="355">
        <f>Input!$NL$14</f>
        <v>1925827</v>
      </c>
      <c r="H71" s="355">
        <f>Input!$NM$14</f>
        <v>0</v>
      </c>
      <c r="I71" s="355">
        <f>Input!$NN$14</f>
        <v>0</v>
      </c>
      <c r="J71" s="355">
        <f>Input!$NO$14</f>
        <v>335083</v>
      </c>
      <c r="K71" s="355">
        <f>Input!$NP$14</f>
        <v>0</v>
      </c>
      <c r="L71" s="355">
        <f>Input!$NQ$14</f>
        <v>0</v>
      </c>
      <c r="M71" s="357">
        <f t="shared" si="12"/>
        <v>29372793</v>
      </c>
      <c r="O71" s="316">
        <f t="shared" si="14"/>
        <v>29037710</v>
      </c>
      <c r="P71" s="317">
        <f>Input!$TQ$14</f>
        <v>773876</v>
      </c>
      <c r="Q71" s="317">
        <f>Input!$UA$14</f>
        <v>0</v>
      </c>
      <c r="R71" s="317">
        <f>Input!$UJ$14</f>
        <v>0</v>
      </c>
      <c r="S71" s="321">
        <f t="shared" si="16"/>
        <v>29811586</v>
      </c>
      <c r="T71" s="320"/>
      <c r="U71" s="495">
        <f t="shared" si="15"/>
        <v>29372793</v>
      </c>
      <c r="V71" s="320"/>
      <c r="W71" s="314" t="s">
        <v>19</v>
      </c>
      <c r="X71" s="363">
        <f>Input!$UU$14</f>
        <v>29372793</v>
      </c>
      <c r="Y71" s="319">
        <f t="shared" si="13"/>
        <v>0</v>
      </c>
      <c r="Z71" s="320"/>
      <c r="AA71" s="320"/>
      <c r="AB71" s="320"/>
    </row>
    <row r="72" spans="1:28" s="149" customFormat="1">
      <c r="A72" s="147">
        <v>55</v>
      </c>
      <c r="B72" s="161" t="s">
        <v>20</v>
      </c>
      <c r="C72" s="161"/>
      <c r="D72" s="355">
        <f>Input!$NR$14</f>
        <v>10653541</v>
      </c>
      <c r="E72" s="355">
        <f>Input!$NS$14</f>
        <v>10437098</v>
      </c>
      <c r="F72" s="355">
        <f>Input!$NT$14</f>
        <v>0</v>
      </c>
      <c r="G72" s="355">
        <f>Input!$NU$14</f>
        <v>204892</v>
      </c>
      <c r="H72" s="355">
        <f>Input!$NV$14</f>
        <v>0</v>
      </c>
      <c r="I72" s="355">
        <f>Input!$NW$14</f>
        <v>0</v>
      </c>
      <c r="J72" s="355">
        <f>Input!$NX$14</f>
        <v>5799546</v>
      </c>
      <c r="K72" s="355">
        <f>Input!$NY$14</f>
        <v>0</v>
      </c>
      <c r="L72" s="355">
        <f>Input!$NZ$14</f>
        <v>0</v>
      </c>
      <c r="M72" s="357">
        <f t="shared" si="12"/>
        <v>27095077</v>
      </c>
      <c r="O72" s="316">
        <f t="shared" si="14"/>
        <v>21295531</v>
      </c>
      <c r="P72" s="317">
        <f>Input!$TR$14</f>
        <v>578748</v>
      </c>
      <c r="Q72" s="317">
        <f>Input!$UB$14</f>
        <v>0</v>
      </c>
      <c r="R72" s="317">
        <f>Input!$UK$14</f>
        <v>0</v>
      </c>
      <c r="S72" s="321">
        <f t="shared" si="16"/>
        <v>21874279</v>
      </c>
      <c r="T72" s="320"/>
      <c r="U72" s="495">
        <f t="shared" si="15"/>
        <v>27095077</v>
      </c>
      <c r="V72" s="320"/>
      <c r="W72" s="314" t="s">
        <v>184</v>
      </c>
      <c r="X72" s="363">
        <f>Input!$UV$14</f>
        <v>27095077</v>
      </c>
      <c r="Y72" s="319">
        <f t="shared" si="13"/>
        <v>0</v>
      </c>
      <c r="Z72" s="320"/>
      <c r="AA72" s="320"/>
      <c r="AB72" s="320"/>
    </row>
    <row r="73" spans="1:28" s="149" customFormat="1" ht="13.5" thickBot="1">
      <c r="A73" s="147">
        <v>56</v>
      </c>
      <c r="B73" s="161" t="s">
        <v>21</v>
      </c>
      <c r="C73" s="161"/>
      <c r="D73" s="355">
        <f>Input!$OA$14</f>
        <v>0</v>
      </c>
      <c r="E73" s="355">
        <f>Input!$OB$14</f>
        <v>985906</v>
      </c>
      <c r="F73" s="355">
        <f>Input!$OC$14</f>
        <v>0</v>
      </c>
      <c r="G73" s="355">
        <f>Input!$OD$14</f>
        <v>2323079</v>
      </c>
      <c r="H73" s="355">
        <f>Input!$OE$14</f>
        <v>0</v>
      </c>
      <c r="I73" s="355">
        <f>Input!$OF$14</f>
        <v>0</v>
      </c>
      <c r="J73" s="355">
        <f>Input!$OG$14</f>
        <v>0</v>
      </c>
      <c r="K73" s="355">
        <f>Input!$OH$14</f>
        <v>0</v>
      </c>
      <c r="L73" s="355">
        <f>Input!$OI$14</f>
        <v>0</v>
      </c>
      <c r="M73" s="357">
        <f t="shared" si="12"/>
        <v>3308985</v>
      </c>
      <c r="O73" s="322">
        <f>D73+E73+G73</f>
        <v>3308985</v>
      </c>
      <c r="P73" s="317">
        <f>Input!$TS$14</f>
        <v>0</v>
      </c>
      <c r="Q73" s="323">
        <f>Input!$UC$14</f>
        <v>0</v>
      </c>
      <c r="R73" s="323">
        <f>Input!$UL$14</f>
        <v>0</v>
      </c>
      <c r="S73" s="324">
        <f>O73+P73-Q73-R73</f>
        <v>3308985</v>
      </c>
      <c r="T73" s="325"/>
      <c r="U73" s="495">
        <f t="shared" si="15"/>
        <v>3308985</v>
      </c>
      <c r="V73" s="325"/>
      <c r="W73" s="314" t="s">
        <v>21</v>
      </c>
      <c r="X73" s="363">
        <f>Input!$UW$14</f>
        <v>3308985</v>
      </c>
      <c r="Y73" s="319">
        <f t="shared" si="13"/>
        <v>0</v>
      </c>
      <c r="Z73" s="320"/>
      <c r="AA73" s="320"/>
      <c r="AB73" s="320"/>
    </row>
    <row r="74" spans="1:28" s="149" customFormat="1" ht="13.5" thickTop="1">
      <c r="A74" s="147">
        <v>57</v>
      </c>
      <c r="B74" s="161" t="s">
        <v>1363</v>
      </c>
      <c r="C74" s="161"/>
      <c r="D74" s="355">
        <f>Input!$OJ$14</f>
        <v>0</v>
      </c>
      <c r="E74" s="355">
        <f>Input!$OK$14</f>
        <v>0</v>
      </c>
      <c r="F74" s="355">
        <f>Input!$OL$14</f>
        <v>456145</v>
      </c>
      <c r="G74" s="355">
        <f>Input!$OM$14</f>
        <v>0</v>
      </c>
      <c r="H74" s="355">
        <f>Input!$ON$14</f>
        <v>0</v>
      </c>
      <c r="I74" s="355">
        <f>Input!$OO$14</f>
        <v>0</v>
      </c>
      <c r="J74" s="355">
        <f>Input!$OP$14</f>
        <v>0</v>
      </c>
      <c r="K74" s="355">
        <f>Input!$OQ$14</f>
        <v>0</v>
      </c>
      <c r="L74" s="355">
        <f>Input!$OR$14</f>
        <v>0</v>
      </c>
      <c r="M74" s="357">
        <f t="shared" si="12"/>
        <v>456145</v>
      </c>
      <c r="O74" s="326"/>
      <c r="P74" s="858">
        <f>Input!$TT$14</f>
        <v>0</v>
      </c>
      <c r="Q74" s="327"/>
      <c r="R74" s="328"/>
      <c r="S74" s="329">
        <f>SUM(S65:S73)</f>
        <v>633903833</v>
      </c>
      <c r="T74" s="328"/>
      <c r="U74" s="495">
        <f t="shared" si="15"/>
        <v>456145</v>
      </c>
      <c r="V74" s="328"/>
      <c r="W74" s="314" t="s">
        <v>22</v>
      </c>
      <c r="X74" s="363">
        <f>Input!$UX$14</f>
        <v>456145</v>
      </c>
      <c r="Y74" s="319">
        <f t="shared" si="13"/>
        <v>0</v>
      </c>
      <c r="Z74" s="320"/>
      <c r="AA74" s="320"/>
      <c r="AB74" s="320"/>
    </row>
    <row r="75" spans="1:28" s="149" customFormat="1">
      <c r="A75" s="147">
        <v>58</v>
      </c>
      <c r="B75" s="162" t="s">
        <v>62</v>
      </c>
      <c r="C75" s="162"/>
      <c r="D75" s="355">
        <f>Input!$OS$14</f>
        <v>1337272</v>
      </c>
      <c r="E75" s="355">
        <f>Input!$OT$14</f>
        <v>2126524</v>
      </c>
      <c r="F75" s="355">
        <f>Input!$OU$14</f>
        <v>0</v>
      </c>
      <c r="G75" s="355">
        <f>Input!$OV$14</f>
        <v>587186</v>
      </c>
      <c r="H75" s="355">
        <f>Input!$OW$14</f>
        <v>0</v>
      </c>
      <c r="I75" s="355">
        <f>Input!$OX$14</f>
        <v>0</v>
      </c>
      <c r="J75" s="355">
        <f>Input!$OY$14</f>
        <v>0</v>
      </c>
      <c r="K75" s="355">
        <f>Input!$OZ$14</f>
        <v>0</v>
      </c>
      <c r="L75" s="355">
        <f>Input!$PA$14</f>
        <v>0</v>
      </c>
      <c r="M75" s="357">
        <f t="shared" si="12"/>
        <v>4050982</v>
      </c>
      <c r="O75" s="326"/>
      <c r="P75" s="326">
        <f>SUM(P65:P74)</f>
        <v>4050982</v>
      </c>
      <c r="Q75" s="327" t="s">
        <v>185</v>
      </c>
      <c r="R75" s="328"/>
      <c r="S75" s="330"/>
      <c r="T75" s="328"/>
      <c r="U75" s="495">
        <f t="shared" si="15"/>
        <v>4050982</v>
      </c>
      <c r="V75" s="328"/>
      <c r="W75" s="314" t="s">
        <v>186</v>
      </c>
      <c r="X75" s="331">
        <f>M93*-1</f>
        <v>20787805</v>
      </c>
      <c r="Y75" s="319">
        <f>X75+M93</f>
        <v>0</v>
      </c>
      <c r="Z75" s="332"/>
      <c r="AA75" s="332"/>
      <c r="AB75" s="332"/>
    </row>
    <row r="76" spans="1:28" s="149" customFormat="1" ht="13.5" thickBot="1">
      <c r="A76" s="147">
        <v>59</v>
      </c>
      <c r="B76" s="163" t="s">
        <v>42</v>
      </c>
      <c r="C76" s="163"/>
      <c r="D76" s="359">
        <f>Input!$PB$14</f>
        <v>-47154</v>
      </c>
      <c r="E76" s="359">
        <f>Input!$PC$14</f>
        <v>0</v>
      </c>
      <c r="F76" s="359">
        <f>Input!$PD$14</f>
        <v>0</v>
      </c>
      <c r="G76" s="359">
        <f>Input!$PE$14</f>
        <v>0</v>
      </c>
      <c r="H76" s="359">
        <f>Input!$PF$14</f>
        <v>0</v>
      </c>
      <c r="I76" s="359">
        <f>Input!$PG$14</f>
        <v>0</v>
      </c>
      <c r="J76" s="359">
        <f>Input!$PH$14</f>
        <v>0</v>
      </c>
      <c r="K76" s="359">
        <f>Input!$PI$14</f>
        <v>0</v>
      </c>
      <c r="L76" s="359">
        <f>Input!$PJ$14</f>
        <v>536031</v>
      </c>
      <c r="M76" s="357">
        <f t="shared" si="12"/>
        <v>488877</v>
      </c>
      <c r="O76" s="326"/>
      <c r="P76" s="484" t="str">
        <f>IF(P75&lt;&gt;M75,"Out of Balance","Balanced")</f>
        <v>Balanced</v>
      </c>
      <c r="Q76" s="1322" t="s">
        <v>187</v>
      </c>
      <c r="R76" s="1323"/>
      <c r="S76" s="412">
        <f>Input!$UM$14</f>
        <v>106629573</v>
      </c>
      <c r="T76" s="333"/>
      <c r="U76" s="496">
        <f t="shared" si="15"/>
        <v>-47154</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167155835</v>
      </c>
      <c r="E77" s="356">
        <f t="shared" si="17"/>
        <v>253919602</v>
      </c>
      <c r="F77" s="356">
        <f t="shared" si="17"/>
        <v>456145</v>
      </c>
      <c r="G77" s="356">
        <f t="shared" si="17"/>
        <v>213175115</v>
      </c>
      <c r="H77" s="356">
        <f t="shared" si="17"/>
        <v>145080</v>
      </c>
      <c r="I77" s="356">
        <f t="shared" si="17"/>
        <v>0</v>
      </c>
      <c r="J77" s="356">
        <f t="shared" si="17"/>
        <v>9814342</v>
      </c>
      <c r="K77" s="356">
        <f t="shared" si="17"/>
        <v>0</v>
      </c>
      <c r="L77" s="356">
        <f t="shared" si="17"/>
        <v>536031</v>
      </c>
      <c r="M77" s="356">
        <f t="shared" si="12"/>
        <v>645202150</v>
      </c>
      <c r="O77" s="50"/>
      <c r="P77" s="326"/>
      <c r="Q77" s="334" t="s">
        <v>188</v>
      </c>
      <c r="R77" s="335"/>
      <c r="S77" s="413">
        <f>Input!$UN$14</f>
        <v>0</v>
      </c>
      <c r="T77" s="336"/>
      <c r="U77" s="497">
        <f>SUM(U65:U76)</f>
        <v>644521039</v>
      </c>
      <c r="V77" s="336"/>
      <c r="W77" s="336"/>
      <c r="X77" s="337">
        <f>SUM(X65:X76)</f>
        <v>661450096</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527274260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Input!$PK$14</f>
        <v>0</v>
      </c>
      <c r="E80" s="355">
        <f>Input!$PL$14</f>
        <v>0</v>
      </c>
      <c r="F80" s="355">
        <f>Input!$PM$14</f>
        <v>0</v>
      </c>
      <c r="G80" s="355">
        <f>Input!$PN$14</f>
        <v>0</v>
      </c>
      <c r="H80" s="355">
        <f>Input!$PO$14</f>
        <v>0</v>
      </c>
      <c r="I80" s="355">
        <f>Input!$PP$14</f>
        <v>0</v>
      </c>
      <c r="J80" s="355">
        <f>Input!$PQ$14</f>
        <v>-56086071</v>
      </c>
      <c r="K80" s="355">
        <f>Input!$PR$14</f>
        <v>0</v>
      </c>
      <c r="L80" s="355">
        <f>Input!$PS$14</f>
        <v>0</v>
      </c>
      <c r="M80" s="357">
        <f>D80+E80+F80+G80+H80+I80+J80+K80+L80</f>
        <v>-56086071</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Input!$PT$14</f>
        <v>-23229094</v>
      </c>
      <c r="E81" s="355">
        <f>Input!$PU$14</f>
        <v>5600149</v>
      </c>
      <c r="F81" s="355">
        <f>Input!$PV$14</f>
        <v>-10000</v>
      </c>
      <c r="G81" s="355">
        <f>Input!$PW$14</f>
        <v>-4298757</v>
      </c>
      <c r="H81" s="355">
        <f>Input!$PX$14</f>
        <v>-20588</v>
      </c>
      <c r="I81" s="355">
        <f>Input!$PY$14</f>
        <v>55193</v>
      </c>
      <c r="J81" s="355">
        <f>Input!$PZ$14</f>
        <v>22536665</v>
      </c>
      <c r="K81" s="355">
        <f>Input!$QA$14</f>
        <v>0</v>
      </c>
      <c r="L81" s="355">
        <f>Input!$QB$14</f>
        <v>0</v>
      </c>
      <c r="M81" s="357">
        <f>D81+E81+F81+G81+H81+I81+J81+K81+L81</f>
        <v>633568</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Input!$QC$14</f>
        <v>0</v>
      </c>
      <c r="E82" s="355">
        <f>Input!$QD$14</f>
        <v>0</v>
      </c>
      <c r="F82" s="355">
        <f>Input!$QE$14</f>
        <v>0</v>
      </c>
      <c r="G82" s="355">
        <f>Input!$QF$14</f>
        <v>0</v>
      </c>
      <c r="H82" s="355">
        <f>Input!$QG$14</f>
        <v>0</v>
      </c>
      <c r="I82" s="355">
        <f>Input!$QH$14</f>
        <v>0</v>
      </c>
      <c r="J82" s="355">
        <f>Input!$QI$14</f>
        <v>37138691</v>
      </c>
      <c r="K82" s="355">
        <f>Input!$QJ$14</f>
        <v>0</v>
      </c>
      <c r="L82" s="355">
        <f>Input!$QK$14</f>
        <v>0</v>
      </c>
      <c r="M82" s="357">
        <f>D82+E82+F82+G82+H82+I82+J82+K82+L82</f>
        <v>37138691</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Input!$QL$14</f>
        <v>-13989425</v>
      </c>
      <c r="E83" s="355">
        <f>Input!$QM$14</f>
        <v>0</v>
      </c>
      <c r="F83" s="355">
        <f>Input!$QN$14</f>
        <v>0</v>
      </c>
      <c r="G83" s="355">
        <f>Input!$QO$14</f>
        <v>0</v>
      </c>
      <c r="H83" s="355">
        <f>Input!$QP$14</f>
        <v>0</v>
      </c>
      <c r="I83" s="355">
        <f>Input!$QQ$14</f>
        <v>0</v>
      </c>
      <c r="J83" s="355">
        <f>Input!$QR$14</f>
        <v>0</v>
      </c>
      <c r="K83" s="355">
        <f>Input!$QS$14</f>
        <v>0</v>
      </c>
      <c r="L83" s="355">
        <f>Input!$QT$14</f>
        <v>0</v>
      </c>
      <c r="M83" s="357">
        <f>D83+E83+F83+G83+H83+I83+J83+K83+L83</f>
        <v>-13989425</v>
      </c>
      <c r="O83" s="346"/>
      <c r="P83" s="458" t="s">
        <v>596</v>
      </c>
      <c r="Q83" s="459"/>
      <c r="R83" s="460"/>
      <c r="S83" s="461">
        <f>IF(M91&lt;0,"N/A",M91)</f>
        <v>16193691</v>
      </c>
      <c r="T83" s="326"/>
      <c r="U83" s="343"/>
      <c r="V83" s="305"/>
      <c r="W83" s="305"/>
      <c r="X83" s="343"/>
      <c r="Y83" s="343"/>
      <c r="Z83" s="305"/>
      <c r="AA83" s="305"/>
      <c r="AB83" s="305"/>
    </row>
    <row r="84" spans="1:28" s="149" customFormat="1">
      <c r="A84" s="147">
        <v>67</v>
      </c>
      <c r="B84" s="164" t="s">
        <v>3</v>
      </c>
      <c r="C84" s="164"/>
      <c r="D84" s="356">
        <f t="shared" ref="D84:L84" si="18">SUM(D80:D83)</f>
        <v>-37218519</v>
      </c>
      <c r="E84" s="356">
        <f t="shared" si="18"/>
        <v>5600149</v>
      </c>
      <c r="F84" s="356">
        <f t="shared" si="18"/>
        <v>-10000</v>
      </c>
      <c r="G84" s="356">
        <f t="shared" si="18"/>
        <v>-4298757</v>
      </c>
      <c r="H84" s="356">
        <f t="shared" si="18"/>
        <v>-20588</v>
      </c>
      <c r="I84" s="356">
        <f t="shared" si="18"/>
        <v>55193</v>
      </c>
      <c r="J84" s="356">
        <f t="shared" si="18"/>
        <v>3589285</v>
      </c>
      <c r="K84" s="356">
        <f t="shared" si="18"/>
        <v>0</v>
      </c>
      <c r="L84" s="356">
        <f t="shared" si="18"/>
        <v>0</v>
      </c>
      <c r="M84" s="356">
        <f>D84+E84+F84+G84+H84+I84+J84+K84+L84</f>
        <v>-32303237</v>
      </c>
      <c r="O84" s="346"/>
      <c r="P84" s="462" t="s">
        <v>597</v>
      </c>
      <c r="Q84" s="347"/>
      <c r="R84" s="347"/>
      <c r="S84" s="492">
        <f>Input!$UY$14</f>
        <v>11216869</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4976822</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Input!$QU$14</f>
        <v>0</v>
      </c>
      <c r="E87" s="355">
        <f>Input!$QV$14</f>
        <v>-706841</v>
      </c>
      <c r="F87" s="355">
        <f>Input!$QW$14</f>
        <v>0</v>
      </c>
      <c r="G87" s="355">
        <f>Input!$QX$14</f>
        <v>-285357</v>
      </c>
      <c r="H87" s="355">
        <f>Input!$QY$14</f>
        <v>0</v>
      </c>
      <c r="I87" s="355">
        <f>Input!$QZ$14</f>
        <v>4000678</v>
      </c>
      <c r="J87" s="355">
        <f>Input!$RA$14</f>
        <v>0</v>
      </c>
      <c r="K87" s="355">
        <f>Input!$RB$14</f>
        <v>0</v>
      </c>
      <c r="L87" s="355">
        <f>Input!$RC$14</f>
        <v>0</v>
      </c>
      <c r="M87" s="357">
        <f>D87+E87+F87+G87+H87+I87+J87+K87+L87</f>
        <v>3008480</v>
      </c>
      <c r="O87" s="51"/>
      <c r="P87" s="467" t="s">
        <v>599</v>
      </c>
      <c r="Q87" s="305"/>
      <c r="R87" s="347"/>
      <c r="S87" s="463">
        <f>Input!$UZ$14</f>
        <v>3008480</v>
      </c>
      <c r="T87" s="50"/>
      <c r="U87" s="50"/>
      <c r="V87" s="50"/>
      <c r="W87" s="305"/>
      <c r="X87" s="343"/>
      <c r="Y87" s="343"/>
      <c r="Z87" s="305"/>
      <c r="AA87" s="305"/>
      <c r="AB87" s="305"/>
    </row>
    <row r="88" spans="1:28" s="149" customFormat="1">
      <c r="A88" s="147">
        <v>71</v>
      </c>
      <c r="B88" s="149" t="s">
        <v>45</v>
      </c>
      <c r="D88" s="355">
        <f>Input!$RD$14</f>
        <v>0</v>
      </c>
      <c r="E88" s="355">
        <f>Input!$RE$14</f>
        <v>0</v>
      </c>
      <c r="F88" s="355">
        <f>Input!$RF$14</f>
        <v>0</v>
      </c>
      <c r="G88" s="355">
        <f>Input!$RG$14</f>
        <v>0</v>
      </c>
      <c r="H88" s="355">
        <f>Input!$RH$14</f>
        <v>0</v>
      </c>
      <c r="I88" s="355">
        <f>Input!$RI$14</f>
        <v>1968342</v>
      </c>
      <c r="J88" s="355">
        <f>Input!$RJ$14</f>
        <v>0</v>
      </c>
      <c r="K88" s="355">
        <f>Input!$RK$14</f>
        <v>0</v>
      </c>
      <c r="L88" s="355">
        <f>Input!$RL$14</f>
        <v>0</v>
      </c>
      <c r="M88" s="357">
        <f>D88+E88+F88+G88+H88+I88+J88+K88+L88</f>
        <v>1968342</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-706841</v>
      </c>
      <c r="F89" s="356">
        <f t="shared" si="19"/>
        <v>0</v>
      </c>
      <c r="G89" s="356">
        <f t="shared" si="19"/>
        <v>-285357</v>
      </c>
      <c r="H89" s="356">
        <f t="shared" si="19"/>
        <v>0</v>
      </c>
      <c r="I89" s="356">
        <f t="shared" si="19"/>
        <v>5969020</v>
      </c>
      <c r="J89" s="356">
        <f t="shared" si="19"/>
        <v>0</v>
      </c>
      <c r="K89" s="356">
        <f t="shared" si="19"/>
        <v>0</v>
      </c>
      <c r="L89" s="356">
        <f t="shared" si="19"/>
        <v>0</v>
      </c>
      <c r="M89" s="356">
        <f>D89+E89+F89+G89+H89+I89+J89+K89+L89</f>
        <v>4976822</v>
      </c>
      <c r="O89" s="51"/>
      <c r="P89" s="470" t="s">
        <v>601</v>
      </c>
      <c r="Q89" s="305"/>
      <c r="R89" s="305"/>
      <c r="S89" s="464">
        <f>IFERROR(S85-S87,"")</f>
        <v>1968342</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-5551877</v>
      </c>
      <c r="E91" s="356">
        <f t="shared" si="20"/>
        <v>14294948</v>
      </c>
      <c r="F91" s="356">
        <f t="shared" si="20"/>
        <v>400826</v>
      </c>
      <c r="G91" s="356">
        <f t="shared" si="20"/>
        <v>8438115</v>
      </c>
      <c r="H91" s="356">
        <f t="shared" si="20"/>
        <v>-165151</v>
      </c>
      <c r="I91" s="356">
        <f t="shared" si="20"/>
        <v>4792324</v>
      </c>
      <c r="J91" s="356">
        <f t="shared" si="20"/>
        <v>-5479463</v>
      </c>
      <c r="K91" s="356">
        <f t="shared" si="20"/>
        <v>0</v>
      </c>
      <c r="L91" s="356">
        <f>L63-L77+L84+L89</f>
        <v>-536031</v>
      </c>
      <c r="M91" s="356">
        <f>D91+E91+F91+G91+H91+I91+J91+K91+L91</f>
        <v>16193691</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Input!$RM$14</f>
        <v>0</v>
      </c>
      <c r="E93" s="355">
        <f>Input!$RN$14</f>
        <v>0</v>
      </c>
      <c r="F93" s="355">
        <f>Input!$RO$14</f>
        <v>0</v>
      </c>
      <c r="G93" s="355">
        <f>Input!$RP$14</f>
        <v>0</v>
      </c>
      <c r="H93" s="355">
        <f>Input!$RQ$14</f>
        <v>0</v>
      </c>
      <c r="I93" s="355">
        <f>Input!$RR$14</f>
        <v>0</v>
      </c>
      <c r="J93" s="355">
        <f>Input!$RS$14</f>
        <v>0</v>
      </c>
      <c r="K93" s="355">
        <f>Input!$RT$14</f>
        <v>0</v>
      </c>
      <c r="L93" s="355">
        <f>Input!$RU$14</f>
        <v>-20787805</v>
      </c>
      <c r="M93" s="357">
        <f>D93+E93+F93+G93+H93+I93+J93+K93+L93</f>
        <v>-20787805</v>
      </c>
      <c r="O93" s="299"/>
      <c r="P93" s="50"/>
      <c r="Q93" s="50"/>
      <c r="R93" s="50"/>
      <c r="S93" s="50"/>
      <c r="T93" s="50"/>
      <c r="U93" s="50"/>
      <c r="V93" s="50"/>
      <c r="W93" s="50"/>
      <c r="X93" s="50"/>
      <c r="Y93" s="50"/>
      <c r="Z93" s="50"/>
      <c r="AA93" s="50"/>
      <c r="AB93" s="50"/>
    </row>
    <row r="94" spans="1:28" s="149" customFormat="1">
      <c r="A94" s="147">
        <v>78</v>
      </c>
      <c r="B94" s="51" t="s">
        <v>94</v>
      </c>
      <c r="C94" s="51"/>
      <c r="D94" s="355">
        <f>Input!$RV$14</f>
        <v>0</v>
      </c>
      <c r="E94" s="355">
        <f>Input!$RW$14</f>
        <v>0</v>
      </c>
      <c r="F94" s="355">
        <f>Input!$RX$14</f>
        <v>0</v>
      </c>
      <c r="G94" s="355">
        <f>Input!$RY$14</f>
        <v>0</v>
      </c>
      <c r="H94" s="355">
        <f>Input!$RZ$14</f>
        <v>0</v>
      </c>
      <c r="I94" s="355">
        <f>Input!$SA$14</f>
        <v>0</v>
      </c>
      <c r="J94" s="355">
        <f>Input!$SB$14</f>
        <v>0</v>
      </c>
      <c r="K94" s="355">
        <f>Input!$SC$14</f>
        <v>0</v>
      </c>
      <c r="L94" s="355">
        <f>Input!$SD$14</f>
        <v>-573387</v>
      </c>
      <c r="M94" s="357">
        <f>D94+E94+F94+G94+H94+I94+J94+K94+L94</f>
        <v>-573387</v>
      </c>
      <c r="O94" s="348"/>
      <c r="P94" s="349"/>
      <c r="Q94" s="50"/>
      <c r="R94" s="50"/>
      <c r="S94" s="50"/>
      <c r="T94" s="50"/>
      <c r="U94" s="50"/>
      <c r="V94" s="50"/>
      <c r="W94" s="50"/>
      <c r="X94" s="50"/>
      <c r="Y94" s="50"/>
      <c r="Z94" s="50"/>
      <c r="AA94" s="50"/>
      <c r="AB94" s="50"/>
    </row>
    <row r="95" spans="1:28" s="149" customFormat="1">
      <c r="A95" s="147"/>
      <c r="B95" s="51" t="s">
        <v>103</v>
      </c>
      <c r="C95" s="51"/>
      <c r="D95" s="355">
        <f>Input!$SE$14</f>
        <v>0</v>
      </c>
      <c r="E95" s="355">
        <f>Input!$SF$14</f>
        <v>0</v>
      </c>
      <c r="F95" s="355">
        <f>Input!$SG$14</f>
        <v>0</v>
      </c>
      <c r="G95" s="355">
        <f>Input!$SH$14</f>
        <v>0</v>
      </c>
      <c r="H95" s="355">
        <f>Input!$SI$14</f>
        <v>0</v>
      </c>
      <c r="I95" s="355">
        <f>Input!$SJ$14</f>
        <v>0</v>
      </c>
      <c r="J95" s="355">
        <f>Input!$SK$14</f>
        <v>0</v>
      </c>
      <c r="K95" s="355">
        <f>Input!$SL$14</f>
        <v>0</v>
      </c>
      <c r="L95" s="355">
        <f>Input!$SM$14</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Input!$SN$14</f>
        <v>0</v>
      </c>
      <c r="E96" s="355">
        <f>Input!$SO$14</f>
        <v>0</v>
      </c>
      <c r="F96" s="355">
        <f>Input!$SP$14</f>
        <v>0</v>
      </c>
      <c r="G96" s="355">
        <f>Input!$SQ$14</f>
        <v>0</v>
      </c>
      <c r="H96" s="355">
        <f>Input!$SR$14</f>
        <v>0</v>
      </c>
      <c r="I96" s="355">
        <f>Input!$SS$14</f>
        <v>0</v>
      </c>
      <c r="J96" s="355">
        <f>Input!$ST$14</f>
        <v>0</v>
      </c>
      <c r="K96" s="355">
        <f>Input!$SU$14</f>
        <v>0</v>
      </c>
      <c r="L96" s="355">
        <f>Input!$SV$14</f>
        <v>12723771</v>
      </c>
      <c r="M96" s="357">
        <f>D96+E96+F96+G96+H96+I96+J96+K96+L96</f>
        <v>12723771</v>
      </c>
      <c r="O96" s="348"/>
      <c r="P96" s="50"/>
      <c r="Q96" s="50"/>
      <c r="R96" s="50"/>
      <c r="S96" s="50"/>
      <c r="T96" s="157"/>
      <c r="U96" s="157"/>
      <c r="V96" s="157"/>
      <c r="W96" s="157"/>
      <c r="X96" s="157"/>
      <c r="Y96" s="50"/>
      <c r="Z96" s="50"/>
      <c r="AA96" s="50"/>
      <c r="AB96" s="50"/>
    </row>
    <row r="97" spans="1:28" s="149" customFormat="1">
      <c r="A97" s="147">
        <v>79</v>
      </c>
      <c r="B97" s="51" t="s">
        <v>70</v>
      </c>
      <c r="C97" s="51"/>
      <c r="D97" s="355">
        <f>Input!$SW$14</f>
        <v>1337272</v>
      </c>
      <c r="E97" s="355">
        <f>Input!$SX$14</f>
        <v>2126524</v>
      </c>
      <c r="F97" s="355">
        <f>Input!$SY$14</f>
        <v>0</v>
      </c>
      <c r="G97" s="355">
        <f>Input!$SZ$14</f>
        <v>587186</v>
      </c>
      <c r="H97" s="355">
        <f>Input!$TA$14</f>
        <v>0</v>
      </c>
      <c r="I97" s="355">
        <f>Input!$TB$14</f>
        <v>0</v>
      </c>
      <c r="J97" s="355">
        <f>Input!$TC$14</f>
        <v>56086071</v>
      </c>
      <c r="K97" s="355">
        <f>Input!$TD$14</f>
        <v>0</v>
      </c>
      <c r="L97" s="355">
        <f>Input!$TE$14</f>
        <v>0</v>
      </c>
      <c r="M97" s="357">
        <f>D97+E97+F97+G97+H97+I97+J97+K97+L97</f>
        <v>60137053</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-4214605</v>
      </c>
      <c r="E98" s="360">
        <f t="shared" si="21"/>
        <v>16421472</v>
      </c>
      <c r="F98" s="360">
        <f t="shared" si="21"/>
        <v>400826</v>
      </c>
      <c r="G98" s="360">
        <f t="shared" si="21"/>
        <v>9025301</v>
      </c>
      <c r="H98" s="360">
        <f t="shared" si="21"/>
        <v>-165151</v>
      </c>
      <c r="I98" s="360">
        <f t="shared" si="21"/>
        <v>4792324</v>
      </c>
      <c r="J98" s="360">
        <f t="shared" si="21"/>
        <v>50606608</v>
      </c>
      <c r="K98" s="360">
        <f t="shared" si="21"/>
        <v>0</v>
      </c>
      <c r="L98" s="360">
        <f t="shared" si="21"/>
        <v>-9173452</v>
      </c>
      <c r="M98" s="360">
        <f>SUM(M91:M97)</f>
        <v>67693323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Input!$VC$14</f>
        <v>Rebecca Aguilar</v>
      </c>
      <c r="Q103" s="1334"/>
      <c r="R103" s="1333" t="str">
        <f>Input!$VD$14</f>
        <v>(806) 743-7381</v>
      </c>
      <c r="S103" s="1334"/>
      <c r="T103" s="305"/>
      <c r="U103" s="1335" t="str">
        <f>HYPERLINK("Mailto:"&amp;Input!$VE$14,Input!$VE$14)</f>
        <v>rebecca.aguilar@ttuhsc.edu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Input!$TF$14</f>
        <v>67693323</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IF($L$123&lt;&gt;Input!$F$14,"Out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326959951</v>
      </c>
      <c r="E110" s="357">
        <f>SUM($E$10:$E$14)+SUM($E$19:$E$28)+SUM($E$50)+$E$53+SUM($E$56:$E$61)+SUM($E$65:$E$76)+SUM($E$80:$E$83)+SUM($E$87:$E$88)+SUM($E$93:$E$97)+SUM($E$32:$E$41)+$E$47</f>
        <v>524260676</v>
      </c>
      <c r="F110" s="357">
        <f>SUM($F$10:$F$14)+SUM($F$19:$F$28)+SUM($F$50)+$F$53+SUM($F$56:$F$61)+SUM($F$65:$F$76)+SUM($F$80:$F$83)+SUM($F$87:$F$88)+SUM($F$93:$F$97)+SUM($F$32:$F$41)+$F$47</f>
        <v>1313116</v>
      </c>
      <c r="G110" s="357">
        <f>SUM($G$10:$G$14)+SUM($G$19:$G$28)+SUM($G$50)+$G$53+SUM($G$56:$G$61)+SUM($G$65:$G$76)+SUM($G$80:$G$83)+SUM($G$87:$G$88)+SUM($G$93:$G$97)+SUM($G$32:$G$41)+$G$47</f>
        <v>435375531</v>
      </c>
      <c r="H110" s="357">
        <f>SUM($H$10:$H$14)+SUM($H$19:$H$28)+SUM($H$50)+$H$53+SUM($H$56:$H$61)+SUM($H$65:$H$76)+SUM($H$80:$H$83)+SUM($H$87:$H$88)+SUM($H$93:$H$97)+SUM($H$32:$H$41)+$H$47</f>
        <v>125009</v>
      </c>
      <c r="I110" s="357">
        <f>SUM($I$10:$I$14)+SUM($I$19:$I$28)+SUM($I$50)+$I$53+SUM($I$56:$I$61)+SUM($I$65:$I$76)+SUM($I$80:$I$83)+SUM($I$87:$I$88)+SUM($I$93:$I$97)+SUM($I$32:$I$41)+$I$47</f>
        <v>4792324</v>
      </c>
      <c r="J110" s="357">
        <f>SUM($J$10:$J$14)+SUM($J$19:$J$28)+SUM($J$50)+$J$53+SUM($J$56:$J$61)+SUM($J$65:$J$76)+SUM($J$80:$J$83)+SUM($J$87:$J$88)+SUM($J$93:$J$97)+SUM($J$32:$J$41)+$J$47</f>
        <v>70235292</v>
      </c>
      <c r="K110" s="357">
        <f>SUM($K$10:$K$14)+SUM($K$19:$K$28)+SUM($K$50)+$K$53+SUM($K$56:$K$61)+SUM($K$65:$K$76)+SUM($K$80:$K$83)+SUM($K$87:$K$88)+SUM($K$93:$K$97)+SUM($K$32:$K$41)+$K$47</f>
        <v>0</v>
      </c>
      <c r="L110" s="357">
        <f>SUM($L$10:$L$14)+SUM($L$19:$L$28)+SUM($L$50)+$L$53+SUM($L$56:$L$61)+SUM($L$65:$L$76)+SUM($L$80:$L$83)+SUM($L$87:$L$88)+SUM($L$93:$L$97)+SUM($L$32:$L$41)+$L$47</f>
        <v>-8101390</v>
      </c>
      <c r="M110" s="51"/>
      <c r="O110" s="51"/>
    </row>
    <row r="111" spans="1:28" s="50" customFormat="1">
      <c r="A111" s="293"/>
      <c r="B111" s="51"/>
      <c r="C111" s="51"/>
      <c r="D111" s="51"/>
      <c r="E111" s="51"/>
      <c r="F111" s="51"/>
      <c r="G111" s="51"/>
      <c r="H111" s="51"/>
      <c r="I111" s="51"/>
      <c r="J111" s="51"/>
      <c r="K111" s="51"/>
      <c r="L111" s="357">
        <f>SUM($D$110:$L$110)</f>
        <v>1354960509</v>
      </c>
      <c r="M111" s="51"/>
      <c r="O111" s="51"/>
    </row>
    <row r="112" spans="1:28" s="50" customFormat="1">
      <c r="A112" s="293"/>
      <c r="B112" s="51"/>
      <c r="C112" s="51"/>
      <c r="D112" s="51"/>
      <c r="E112" s="51"/>
      <c r="F112" s="51"/>
      <c r="G112" s="51"/>
      <c r="H112" s="51"/>
      <c r="I112" s="51"/>
      <c r="J112" s="51" t="s">
        <v>1249</v>
      </c>
      <c r="K112" s="51"/>
      <c r="L112" s="357">
        <f>$M$105</f>
        <v>67693323</v>
      </c>
      <c r="M112" s="51"/>
      <c r="O112" s="51"/>
    </row>
    <row r="113" spans="1:15" s="50" customFormat="1">
      <c r="A113" s="293"/>
      <c r="B113" s="51"/>
      <c r="C113" s="51"/>
      <c r="D113" s="51"/>
      <c r="E113" s="51"/>
      <c r="F113" s="51"/>
      <c r="G113" s="51"/>
      <c r="H113" s="51"/>
      <c r="I113" s="51"/>
      <c r="J113" s="51" t="s">
        <v>1250</v>
      </c>
      <c r="K113" s="51"/>
      <c r="L113" s="143">
        <f>$Q$32</f>
        <v>59302400</v>
      </c>
      <c r="M113" s="51"/>
      <c r="O113" s="51"/>
    </row>
    <row r="114" spans="1:15" s="50" customFormat="1">
      <c r="A114" s="293"/>
      <c r="B114" s="51"/>
      <c r="C114" s="51"/>
      <c r="D114" s="51"/>
      <c r="E114" s="51"/>
      <c r="F114" s="51"/>
      <c r="G114" s="51"/>
      <c r="H114" s="51"/>
      <c r="I114" s="51"/>
      <c r="J114" s="51" t="s">
        <v>1250</v>
      </c>
      <c r="K114" s="51"/>
      <c r="L114" s="143">
        <f>$R$34</f>
        <v>-7311589</v>
      </c>
      <c r="M114" s="51"/>
      <c r="O114" s="51"/>
    </row>
    <row r="115" spans="1:15" s="50" customFormat="1">
      <c r="A115" s="293"/>
      <c r="B115" s="51"/>
      <c r="C115" s="51"/>
      <c r="D115" s="51"/>
      <c r="E115" s="51"/>
      <c r="F115" s="51"/>
      <c r="G115" s="51"/>
      <c r="H115" s="51"/>
      <c r="I115" s="51"/>
      <c r="J115" s="51" t="s">
        <v>27</v>
      </c>
      <c r="K115" s="51"/>
      <c r="L115" s="143">
        <f>SUM($P$65:$P$74)</f>
        <v>4050982</v>
      </c>
      <c r="M115" s="51"/>
      <c r="O115" s="51"/>
    </row>
    <row r="116" spans="1:15" s="50" customFormat="1">
      <c r="A116" s="293"/>
      <c r="B116" s="51"/>
      <c r="C116" s="51"/>
      <c r="D116" s="51"/>
      <c r="E116" s="51"/>
      <c r="F116" s="51"/>
      <c r="G116" s="51"/>
      <c r="H116" s="51"/>
      <c r="I116" s="51"/>
      <c r="J116" s="51" t="s">
        <v>1009</v>
      </c>
      <c r="K116" s="51"/>
      <c r="L116" s="143">
        <f>$S$76+$S$77</f>
        <v>106629573</v>
      </c>
      <c r="M116" s="51"/>
      <c r="O116" s="51"/>
    </row>
    <row r="117" spans="1:15" s="50" customFormat="1">
      <c r="A117" s="293"/>
      <c r="B117" s="51"/>
      <c r="C117" s="51"/>
      <c r="D117" s="51"/>
      <c r="E117" s="51"/>
      <c r="F117" s="51"/>
      <c r="G117" s="51"/>
      <c r="H117" s="51"/>
      <c r="I117" s="51"/>
      <c r="J117" s="51" t="s">
        <v>607</v>
      </c>
      <c r="K117" s="51"/>
      <c r="L117" s="143">
        <f>SUM($Q$65:$Q$73)</f>
        <v>373856</v>
      </c>
      <c r="M117" s="51"/>
      <c r="O117" s="51"/>
    </row>
    <row r="118" spans="1:15" s="50" customFormat="1">
      <c r="A118" s="293"/>
      <c r="B118" s="51"/>
      <c r="C118" s="51"/>
      <c r="D118" s="51"/>
      <c r="E118" s="51"/>
      <c r="F118" s="51"/>
      <c r="G118" s="51"/>
      <c r="H118" s="51"/>
      <c r="I118" s="51"/>
      <c r="J118" s="51" t="s">
        <v>608</v>
      </c>
      <c r="K118" s="51"/>
      <c r="L118" s="143">
        <f>SUM($R$65:$R$73)</f>
        <v>20017</v>
      </c>
      <c r="M118" s="51"/>
      <c r="O118" s="51"/>
    </row>
    <row r="119" spans="1:15" s="50" customFormat="1">
      <c r="A119" s="293"/>
      <c r="B119" s="51"/>
      <c r="C119" s="51"/>
      <c r="D119" s="51"/>
      <c r="E119" s="51"/>
      <c r="F119" s="51"/>
      <c r="G119" s="51"/>
      <c r="H119" s="51"/>
      <c r="I119" s="51"/>
      <c r="J119" s="51" t="s">
        <v>182</v>
      </c>
      <c r="K119" s="51"/>
      <c r="L119" s="143">
        <f>SUM($X$65:$X$74)</f>
        <v>640662291</v>
      </c>
      <c r="M119" s="51"/>
      <c r="O119" s="51"/>
    </row>
    <row r="120" spans="1:15" s="50" customFormat="1">
      <c r="A120" s="293"/>
      <c r="B120" s="51"/>
      <c r="C120" s="51"/>
      <c r="D120" s="51"/>
      <c r="E120" s="51"/>
      <c r="F120" s="51"/>
      <c r="G120" s="51"/>
      <c r="H120" s="51"/>
      <c r="I120" s="51"/>
      <c r="J120" s="51" t="s">
        <v>609</v>
      </c>
      <c r="K120" s="51"/>
      <c r="L120" s="143">
        <f>$S$84</f>
        <v>11216869</v>
      </c>
      <c r="M120" s="51"/>
      <c r="O120" s="51"/>
    </row>
    <row r="121" spans="1:15" s="50" customFormat="1">
      <c r="A121" s="293"/>
      <c r="B121" s="51"/>
      <c r="C121" s="51"/>
      <c r="D121" s="51"/>
      <c r="E121" s="51"/>
      <c r="F121" s="51"/>
      <c r="G121" s="51"/>
      <c r="H121" s="51"/>
      <c r="I121" s="51"/>
      <c r="J121" s="51" t="s">
        <v>609</v>
      </c>
      <c r="K121" s="51"/>
      <c r="L121" s="143">
        <f>$S$87</f>
        <v>3008480</v>
      </c>
      <c r="M121" s="51"/>
      <c r="O121" s="51"/>
    </row>
    <row r="122" spans="1:15" s="50" customFormat="1">
      <c r="A122" s="293"/>
      <c r="B122" s="51"/>
      <c r="C122" s="51"/>
      <c r="D122" s="51"/>
      <c r="E122" s="51"/>
      <c r="F122" s="51"/>
      <c r="G122" s="51"/>
      <c r="H122" s="51"/>
      <c r="I122" s="51"/>
      <c r="J122" s="51" t="s">
        <v>1255</v>
      </c>
      <c r="K122" s="51"/>
      <c r="L122" s="935">
        <f>VLOOKUP(B2,Names!$B$10:$C$88,2,FALSE)</f>
        <v>412</v>
      </c>
      <c r="M122" s="51"/>
      <c r="O122" s="51"/>
    </row>
    <row r="123" spans="1:15" s="50" customFormat="1">
      <c r="A123" s="293"/>
      <c r="B123" s="51"/>
      <c r="C123" s="51"/>
      <c r="D123" s="51"/>
      <c r="E123" s="51"/>
      <c r="F123" s="51"/>
      <c r="G123" s="51"/>
      <c r="H123" s="51"/>
      <c r="I123" s="51"/>
      <c r="J123" s="51"/>
      <c r="K123" s="51"/>
      <c r="L123" s="486">
        <f>SUM($L$111:$L$122)</f>
        <v>2240607123</v>
      </c>
      <c r="M123" s="51"/>
      <c r="O123" s="51"/>
    </row>
    <row r="128" spans="1:15">
      <c r="L128" s="860"/>
    </row>
  </sheetData>
  <mergeCells count="27">
    <mergeCell ref="Q76:R76"/>
    <mergeCell ref="O60:S60"/>
    <mergeCell ref="W61:W64"/>
    <mergeCell ref="P105:V106"/>
    <mergeCell ref="P82:S82"/>
    <mergeCell ref="P100:V100"/>
    <mergeCell ref="P103:Q103"/>
    <mergeCell ref="R103:S103"/>
    <mergeCell ref="U103:V103"/>
    <mergeCell ref="R61:R64"/>
    <mergeCell ref="S61:S64"/>
    <mergeCell ref="X61:X64"/>
    <mergeCell ref="Y61:Y64"/>
    <mergeCell ref="U61:U64"/>
    <mergeCell ref="W60:Y60"/>
    <mergeCell ref="U19:Y19"/>
    <mergeCell ref="G64:K64"/>
    <mergeCell ref="P10:P11"/>
    <mergeCell ref="O61:O64"/>
    <mergeCell ref="P61:P64"/>
    <mergeCell ref="Q61:Q64"/>
    <mergeCell ref="O19:S19"/>
    <mergeCell ref="B2:F2"/>
    <mergeCell ref="B3:F3"/>
    <mergeCell ref="B4:F4"/>
    <mergeCell ref="B6:M6"/>
    <mergeCell ref="P4:Q4"/>
  </mergeCells>
  <conditionalFormatting sqref="D99:M99 D98:L98">
    <cfRule type="cellIs" dxfId="242" priority="89" stopIfTrue="1" operator="notEqual">
      <formula>#REF!</formula>
    </cfRule>
  </conditionalFormatting>
  <conditionalFormatting sqref="M77">
    <cfRule type="cellIs" dxfId="241" priority="88" stopIfTrue="1" operator="notEqual">
      <formula>SUM($M$65:$M$76)</formula>
    </cfRule>
  </conditionalFormatting>
  <conditionalFormatting sqref="M89">
    <cfRule type="cellIs" dxfId="240" priority="87" stopIfTrue="1" operator="notEqual">
      <formula>SUM($M$87:$M$88)</formula>
    </cfRule>
  </conditionalFormatting>
  <conditionalFormatting sqref="M84">
    <cfRule type="cellIs" dxfId="239" priority="86" stopIfTrue="1" operator="notEqual">
      <formula>SUM($M$80:$M$83)</formula>
    </cfRule>
  </conditionalFormatting>
  <conditionalFormatting sqref="M62">
    <cfRule type="cellIs" dxfId="238" priority="82" stopIfTrue="1" operator="notEqual">
      <formula>SUM($M$56:$M$61)</formula>
    </cfRule>
  </conditionalFormatting>
  <conditionalFormatting sqref="M15">
    <cfRule type="cellIs" dxfId="237" priority="81" stopIfTrue="1" operator="notEqual">
      <formula>SUM($M$10:$M$14)</formula>
    </cfRule>
  </conditionalFormatting>
  <conditionalFormatting sqref="R99:S102 X95:AB102 U93:W100 T95:T102 O93:O100 P94:P101 Q93:Q100 S95:S98 R95:R97 D98:L98">
    <cfRule type="cellIs" dxfId="236" priority="80" stopIfTrue="1" operator="notEqual">
      <formula>#REF!</formula>
    </cfRule>
  </conditionalFormatting>
  <conditionalFormatting sqref="G64:K64">
    <cfRule type="expression" dxfId="235" priority="63">
      <formula>$R$98&lt;&gt;0</formula>
    </cfRule>
    <cfRule type="expression" dxfId="234" priority="64">
      <formula>$T$93&gt;0</formula>
    </cfRule>
  </conditionalFormatting>
  <conditionalFormatting sqref="O11:P11">
    <cfRule type="expression" dxfId="233" priority="62">
      <formula>#REF!&lt;&gt;$N$11</formula>
    </cfRule>
  </conditionalFormatting>
  <conditionalFormatting sqref="O13">
    <cfRule type="expression" dxfId="232" priority="61">
      <formula>$P$13&lt;&gt;$M$13</formula>
    </cfRule>
  </conditionalFormatting>
  <conditionalFormatting sqref="O12">
    <cfRule type="expression" dxfId="231" priority="60">
      <formula>$P$12&lt;&gt;$M$12</formula>
    </cfRule>
  </conditionalFormatting>
  <conditionalFormatting sqref="S91">
    <cfRule type="expression" priority="58" stopIfTrue="1">
      <formula>$N$91&lt;0</formula>
    </cfRule>
    <cfRule type="expression" dxfId="230" priority="59">
      <formula>$T$91&lt;&gt;0</formula>
    </cfRule>
  </conditionalFormatting>
  <conditionalFormatting sqref="S84 S87">
    <cfRule type="expression" dxfId="229" priority="56" stopIfTrue="1">
      <formula>$N$91&gt;=0</formula>
    </cfRule>
    <cfRule type="expression" priority="57">
      <formula>$N$91&lt;0</formula>
    </cfRule>
  </conditionalFormatting>
  <conditionalFormatting sqref="U100:V100 R102 U101 P100:P101 Q100:R100 S100:T102 S105:U106">
    <cfRule type="cellIs" dxfId="228" priority="55" stopIfTrue="1" operator="notEqual">
      <formula>#REF!</formula>
    </cfRule>
  </conditionalFormatting>
  <conditionalFormatting sqref="P76">
    <cfRule type="expression" dxfId="227" priority="53">
      <formula>$P$75&lt;&gt;$M$75</formula>
    </cfRule>
  </conditionalFormatting>
  <conditionalFormatting sqref="Y78">
    <cfRule type="expression" dxfId="226" priority="52">
      <formula>$Y$77&lt;&gt;0</formula>
    </cfRule>
  </conditionalFormatting>
  <conditionalFormatting sqref="Q36">
    <cfRule type="expression" dxfId="225" priority="48">
      <formula>#REF!&lt;&gt;#REF!</formula>
    </cfRule>
  </conditionalFormatting>
  <conditionalFormatting sqref="R35">
    <cfRule type="expression" dxfId="224" priority="47">
      <formula>#REF!&lt;&gt;0</formula>
    </cfRule>
  </conditionalFormatting>
  <conditionalFormatting sqref="Q35">
    <cfRule type="expression" dxfId="223" priority="46">
      <formula>#REF!&lt;&gt;0</formula>
    </cfRule>
  </conditionalFormatting>
  <conditionalFormatting sqref="R36">
    <cfRule type="expression" dxfId="222" priority="45">
      <formula>#REF!&lt;&gt;#REF!</formula>
    </cfRule>
  </conditionalFormatting>
  <conditionalFormatting sqref="D99:M99 D98:L98">
    <cfRule type="cellIs" dxfId="221" priority="44" stopIfTrue="1" operator="notEqual">
      <formula>#REF!</formula>
    </cfRule>
  </conditionalFormatting>
  <conditionalFormatting sqref="M77">
    <cfRule type="cellIs" dxfId="220" priority="43" stopIfTrue="1" operator="notEqual">
      <formula>SUM($M$65:$M$76)</formula>
    </cfRule>
  </conditionalFormatting>
  <conditionalFormatting sqref="M89">
    <cfRule type="cellIs" dxfId="219" priority="42" stopIfTrue="1" operator="notEqual">
      <formula>SUM($M$87:$M$88)</formula>
    </cfRule>
  </conditionalFormatting>
  <conditionalFormatting sqref="M84">
    <cfRule type="cellIs" dxfId="218" priority="41" stopIfTrue="1" operator="notEqual">
      <formula>SUM($M$80:$M$83)</formula>
    </cfRule>
  </conditionalFormatting>
  <conditionalFormatting sqref="M62">
    <cfRule type="cellIs" dxfId="217" priority="40" stopIfTrue="1" operator="notEqual">
      <formula>SUM($M$56:$M$61)</formula>
    </cfRule>
  </conditionalFormatting>
  <conditionalFormatting sqref="M15">
    <cfRule type="cellIs" dxfId="216" priority="39" stopIfTrue="1" operator="notEqual">
      <formula>SUM($M$10:$M$14)</formula>
    </cfRule>
  </conditionalFormatting>
  <conditionalFormatting sqref="R99:S102 X95:AB102 U93:W100 T95:T102 O93:O100 P94:P101 Q93:Q100 S95:S98 R95:R97 D99:M99 D98:L98">
    <cfRule type="cellIs" dxfId="215" priority="38" stopIfTrue="1" operator="notEqual">
      <formula>#REF!</formula>
    </cfRule>
  </conditionalFormatting>
  <conditionalFormatting sqref="G64:K64">
    <cfRule type="expression" dxfId="214" priority="36">
      <formula>$R$98&lt;&gt;0</formula>
    </cfRule>
    <cfRule type="expression" dxfId="213" priority="37">
      <formula>$T$93&gt;0</formula>
    </cfRule>
  </conditionalFormatting>
  <conditionalFormatting sqref="O11:P11">
    <cfRule type="expression" dxfId="212" priority="35">
      <formula>#REF!&lt;&gt;$N$11</formula>
    </cfRule>
  </conditionalFormatting>
  <conditionalFormatting sqref="O13">
    <cfRule type="expression" dxfId="211" priority="34">
      <formula>$Q$13&lt;&gt;$N$13</formula>
    </cfRule>
  </conditionalFormatting>
  <conditionalFormatting sqref="O12">
    <cfRule type="expression" dxfId="210" priority="33">
      <formula>$Q$12&lt;&gt;$N$12</formula>
    </cfRule>
  </conditionalFormatting>
  <conditionalFormatting sqref="S91">
    <cfRule type="expression" priority="31" stopIfTrue="1">
      <formula>$N$91&lt;0</formula>
    </cfRule>
    <cfRule type="expression" dxfId="209" priority="32">
      <formula>$T$91&lt;&gt;0</formula>
    </cfRule>
  </conditionalFormatting>
  <conditionalFormatting sqref="S84 S87">
    <cfRule type="expression" dxfId="208" priority="29" stopIfTrue="1">
      <formula>$M$91&gt;=0</formula>
    </cfRule>
    <cfRule type="expression" priority="30">
      <formula>$M$91&lt;0</formula>
    </cfRule>
  </conditionalFormatting>
  <conditionalFormatting sqref="U100:V100 R102 U101 P100:P101 Q100:R100 S100:T102 S105:U106">
    <cfRule type="cellIs" dxfId="207" priority="28" stopIfTrue="1" operator="notEqual">
      <formula>#REF!</formula>
    </cfRule>
  </conditionalFormatting>
  <conditionalFormatting sqref="P76">
    <cfRule type="expression" dxfId="206" priority="27">
      <formula>$P$75&lt;&gt;$M$75</formula>
    </cfRule>
  </conditionalFormatting>
  <conditionalFormatting sqref="Y78">
    <cfRule type="expression" dxfId="205" priority="26">
      <formula>$Y$77&lt;&gt;0</formula>
    </cfRule>
  </conditionalFormatting>
  <conditionalFormatting sqref="Q36">
    <cfRule type="expression" dxfId="204" priority="25">
      <formula>#REF!&lt;&gt;#REF!</formula>
    </cfRule>
  </conditionalFormatting>
  <conditionalFormatting sqref="R35">
    <cfRule type="expression" dxfId="203" priority="24">
      <formula>#REF!&lt;&gt;0</formula>
    </cfRule>
  </conditionalFormatting>
  <conditionalFormatting sqref="Q35">
    <cfRule type="expression" dxfId="202" priority="23">
      <formula>#REF!&lt;&gt;0</formula>
    </cfRule>
  </conditionalFormatting>
  <conditionalFormatting sqref="R36">
    <cfRule type="expression" dxfId="201" priority="22">
      <formula>#REF!&lt;&gt;#REF!</formula>
    </cfRule>
  </conditionalFormatting>
  <conditionalFormatting sqref="D99:M99 D98:L98">
    <cfRule type="cellIs" dxfId="200" priority="21" stopIfTrue="1" operator="notEqual">
      <formula>#REF!</formula>
    </cfRule>
  </conditionalFormatting>
  <conditionalFormatting sqref="M77">
    <cfRule type="cellIs" dxfId="199" priority="20" stopIfTrue="1" operator="notEqual">
      <formula>SUM($M$65:$M$76)</formula>
    </cfRule>
  </conditionalFormatting>
  <conditionalFormatting sqref="M89">
    <cfRule type="cellIs" dxfId="198" priority="19" stopIfTrue="1" operator="notEqual">
      <formula>SUM($M$87:$M$88)</formula>
    </cfRule>
  </conditionalFormatting>
  <conditionalFormatting sqref="M84">
    <cfRule type="cellIs" dxfId="197" priority="18" stopIfTrue="1" operator="notEqual">
      <formula>SUM($M$80:$M$83)</formula>
    </cfRule>
  </conditionalFormatting>
  <conditionalFormatting sqref="M62">
    <cfRule type="cellIs" dxfId="196" priority="17" stopIfTrue="1" operator="notEqual">
      <formula>SUM($M$56:$M$61)</formula>
    </cfRule>
  </conditionalFormatting>
  <conditionalFormatting sqref="M15">
    <cfRule type="cellIs" dxfId="195" priority="16" stopIfTrue="1" operator="notEqual">
      <formula>SUM($M$10:$M$14)</formula>
    </cfRule>
  </conditionalFormatting>
  <conditionalFormatting sqref="D98:L98">
    <cfRule type="cellIs" dxfId="194" priority="15" stopIfTrue="1" operator="notEqual">
      <formula>#REF!</formula>
    </cfRule>
  </conditionalFormatting>
  <conditionalFormatting sqref="G64:K64">
    <cfRule type="expression" dxfId="193" priority="14">
      <formula>$R$98&lt;&gt;0</formula>
    </cfRule>
  </conditionalFormatting>
  <conditionalFormatting sqref="O11:P11">
    <cfRule type="expression" dxfId="192" priority="13">
      <formula>#REF!&lt;&gt;$N$11</formula>
    </cfRule>
  </conditionalFormatting>
  <conditionalFormatting sqref="O13">
    <cfRule type="expression" dxfId="191" priority="12">
      <formula>$Q$13&lt;&gt;$N$13</formula>
    </cfRule>
  </conditionalFormatting>
  <conditionalFormatting sqref="O12">
    <cfRule type="expression" dxfId="190" priority="11">
      <formula>$Q$12&lt;&gt;$N$12</formula>
    </cfRule>
  </conditionalFormatting>
  <conditionalFormatting sqref="S91">
    <cfRule type="expression" priority="9" stopIfTrue="1">
      <formula>$N$91&lt;0</formula>
    </cfRule>
    <cfRule type="expression" dxfId="189" priority="10">
      <formula>$T$91&lt;&gt;0</formula>
    </cfRule>
  </conditionalFormatting>
  <conditionalFormatting sqref="S84 S87">
    <cfRule type="expression" dxfId="188" priority="7" stopIfTrue="1">
      <formula>$M$91&gt;=0</formula>
    </cfRule>
    <cfRule type="expression" priority="8">
      <formula>$M$91&lt;0</formula>
    </cfRule>
  </conditionalFormatting>
  <conditionalFormatting sqref="U100:V100 R102 U101 P100:P101 Q100:R100 S100:T102 S105:U106">
    <cfRule type="cellIs" dxfId="187" priority="6" stopIfTrue="1" operator="notEqual">
      <formula>#REF!</formula>
    </cfRule>
  </conditionalFormatting>
  <conditionalFormatting sqref="P76">
    <cfRule type="expression" dxfId="186" priority="5">
      <formula>$P$75&lt;&gt;$M$75</formula>
    </cfRule>
  </conditionalFormatting>
  <conditionalFormatting sqref="Y78">
    <cfRule type="expression" dxfId="185" priority="4">
      <formula>$Y$77&lt;&gt;0</formula>
    </cfRule>
  </conditionalFormatting>
  <conditionalFormatting sqref="Q36:R36">
    <cfRule type="expression" dxfId="184" priority="3">
      <formula>#REF!&lt;&gt;#REF!</formula>
    </cfRule>
  </conditionalFormatting>
  <conditionalFormatting sqref="R35">
    <cfRule type="expression" dxfId="183" priority="2">
      <formula>#REF!&lt;&gt;0</formula>
    </cfRule>
  </conditionalFormatting>
  <conditionalFormatting sqref="Q35">
    <cfRule type="expression" dxfId="182"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'TTUHSC Chts'!$A$1</f>
        <v>Texas Tech University Health Sciences Center</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IF('TTUHSC FGD'!$S$83="N/A","FN11.  N/A",$B$14&amp;$B$15&amp;$B$16&amp;$B$17&amp;$B$18&amp;$B$19&amp;$B$20&amp;$B$21&amp;$B$22&amp;$B$23&amp;$B$24)</f>
        <v>FN11: Of the net increase of $16,193,691 approximately $11.2 million represents revenues received but not year expended. This income is fully committed to program expenditures and capital disbursements. The remaining $5.0 million represents non-expendable funds from unrealized gains and additions to permanent endowments of approximately $3.0 million and $2.0 million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TEXT(IF('TTUHSC FGD'!$M$91&lt;0,"N/A",'TTUHSC FGD'!$M$91),"$* #,##0;$* (#,##0)")</f>
        <v>$16,193,691</v>
      </c>
      <c r="C15" s="453"/>
      <c r="F15" s="453"/>
      <c r="G15" s="54"/>
    </row>
    <row r="16" spans="1:7">
      <c r="B16" s="54" t="s">
        <v>611</v>
      </c>
    </row>
    <row r="17" spans="1:6">
      <c r="A17" s="53">
        <v>68</v>
      </c>
      <c r="B17" s="489" t="str">
        <f>IF(ABS('TTUHSC FGD'!$S$84)&gt;=1000000,TEXT('TTUHSC FGD'!$S$84/1000000,"$* #,##0.0;$* (#,##0.0)")&amp;" million",IF(ABS('TTUHSC FGD'!$S$84)&lt;1000,TEXT('TTUHSC FGD'!$S$84,"$* #,##0;$* (#,##0)"),TEXT('TTUHSC FGD'!$S$84/1000,"$* #,##0;$* (#,##0)")&amp;" thousand"))</f>
        <v>$11.2 million</v>
      </c>
      <c r="C17" s="489"/>
      <c r="F17" s="489"/>
    </row>
    <row r="18" spans="1:6">
      <c r="B18" s="54" t="s">
        <v>627</v>
      </c>
    </row>
    <row r="19" spans="1:6">
      <c r="A19" s="53">
        <v>69</v>
      </c>
      <c r="B19" s="53" t="str">
        <f>IF(ABS('TTUHSC FGD'!$S$85)&gt;=1000000,TEXT('TTUHSC FGD'!$S$85/1000000,"$* #,##0.0;$* (#,##0.0)")&amp;" million",IF(ABS('TTUHSC FGD'!$S$85)&lt;1000,TEXT('TTUHSC FGD'!$S$85,"$* #,##0;$* (#,##0)"),TEXT('TTUHSC FGD'!$S$85/1000,"$* #,##0;$* (#,##0)")&amp;" thousand"))</f>
        <v>$5.0 million</v>
      </c>
    </row>
    <row r="20" spans="1:6">
      <c r="B20" s="54" t="s">
        <v>612</v>
      </c>
    </row>
    <row r="21" spans="1:6">
      <c r="A21" s="53">
        <v>71</v>
      </c>
      <c r="B21" s="53" t="str">
        <f>IF(ABS('TTUHSC FGD'!$S$87)&gt;=1000000,TEXT('TTUHSC FGD'!$S$87/1000000,"$* #,##0.0;$* (#,##0.0)")&amp;" million",IF(ABS('TTUHSC FGD'!$S$87)&lt;1000,TEXT('TTUHSC FGD'!$S$87,"$* #,##0;$* (#,##0)"),TEXT('TTUHSC FGD'!$S$87/1000,"$* #,##0;$* (#,##0)")&amp;" thousand"))</f>
        <v>$3.0 million</v>
      </c>
    </row>
    <row r="22" spans="1:6">
      <c r="B22" s="54" t="s">
        <v>613</v>
      </c>
    </row>
    <row r="23" spans="1:6">
      <c r="A23" s="53">
        <v>73</v>
      </c>
      <c r="B23" s="53" t="str">
        <f>IF(ABS('TTUHSC FGD'!$S$89)&gt;=1000000,TEXT('TTUHSC FGD'!$S$89/1000000,"$* #,##0.0;$* (#,##0.0)")&amp;" million",IF(ABS('TTUHSC FGD'!$S$89)&lt;1000,TEXT('TTUHSC FGD'!$S$89,"$* #,##0;$* (#,##0)"),TEXT('TTUHSC FGD'!$S$89/1000,"$* #,##0;$* (#,##0)")&amp;" thousand"))</f>
        <v>$2.0 million</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1230</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'TTUHSCEP Sum'!A9</f>
        <v>State of Texas</v>
      </c>
      <c r="D11" s="61">
        <f>'TTUHSCEP Sum'!B15</f>
        <v>88008374</v>
      </c>
      <c r="E11" s="673">
        <f>ROUND(D11/$D$17,3)</f>
        <v>0.34300000000000003</v>
      </c>
    </row>
    <row r="12" spans="1:5" ht="12.95" customHeight="1">
      <c r="B12" s="56"/>
      <c r="C12" s="60" t="str">
        <f>'TTUHSCEP Sum'!A17</f>
        <v>Student &amp; Parent</v>
      </c>
      <c r="D12" s="61">
        <f>'TTUHSCEP Sum'!B20</f>
        <v>8991570</v>
      </c>
      <c r="E12" s="673">
        <f t="shared" ref="E12:E15" si="0">ROUND(D12/$D$17,3)</f>
        <v>3.5000000000000003E-2</v>
      </c>
    </row>
    <row r="13" spans="1:5" ht="12.95" customHeight="1">
      <c r="B13" s="56"/>
      <c r="C13" s="60" t="str">
        <f>'TTUHSCEP Sum'!A22</f>
        <v>Federal Government</v>
      </c>
      <c r="D13" s="61">
        <f>'TTUHSCEP Sum'!B23</f>
        <v>3784539</v>
      </c>
      <c r="E13" s="673">
        <f t="shared" si="0"/>
        <v>1.4999999999999999E-2</v>
      </c>
    </row>
    <row r="14" spans="1:5" ht="12.95" customHeight="1">
      <c r="B14" s="56"/>
      <c r="C14" s="60" t="str">
        <f>'TTUHSCEP Sum'!A31</f>
        <v>Institutional Resources</v>
      </c>
      <c r="D14" s="61">
        <f>'TTUHSCEP Sum'!B38</f>
        <v>104221173</v>
      </c>
      <c r="E14" s="673">
        <f t="shared" si="0"/>
        <v>0.40600000000000003</v>
      </c>
    </row>
    <row r="15" spans="1:5" ht="12.95" customHeight="1">
      <c r="B15" s="56"/>
      <c r="C15" s="62" t="s">
        <v>58</v>
      </c>
      <c r="D15" s="61">
        <f>'TTUHSCEP Sum'!B29+'TTUHSCEP Sum'!B26</f>
        <v>51823292</v>
      </c>
      <c r="E15" s="673">
        <f t="shared" si="0"/>
        <v>0.20200000000000001</v>
      </c>
    </row>
    <row r="16" spans="1:5" ht="12.95" customHeight="1">
      <c r="B16" s="56"/>
      <c r="C16" s="58"/>
      <c r="D16" s="59"/>
    </row>
    <row r="17" spans="1:5" ht="12.95" customHeight="1">
      <c r="B17" s="56"/>
      <c r="C17" s="63" t="s">
        <v>71</v>
      </c>
      <c r="D17" s="64">
        <f>SUM(D11:D16)</f>
        <v>256828948</v>
      </c>
      <c r="E17" s="674">
        <f>SUM(E11:E15)</f>
        <v>1.0010000000000001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$256,828,948</v>
      </c>
    </row>
    <row r="48" spans="1:1" ht="12.95" customHeight="1">
      <c r="A48" s="1241"/>
    </row>
    <row r="49" spans="1:5" ht="12.95" customHeight="1">
      <c r="A49" s="57"/>
    </row>
    <row r="50" spans="1:5" ht="12.95" customHeight="1">
      <c r="C50" s="913" t="s">
        <v>25</v>
      </c>
      <c r="D50" s="913"/>
    </row>
    <row r="51" spans="1:5" ht="12.95" customHeight="1">
      <c r="C51" s="58"/>
      <c r="D51" s="59"/>
    </row>
    <row r="52" spans="1:5" ht="12.95" customHeight="1">
      <c r="C52" s="55"/>
      <c r="D52" s="55"/>
    </row>
    <row r="53" spans="1:5" ht="12.95" customHeight="1">
      <c r="C53" s="60" t="s">
        <v>1</v>
      </c>
      <c r="D53" s="61">
        <f>'TTUHSCEP Sum'!B10</f>
        <v>75659465</v>
      </c>
      <c r="E53" s="673">
        <f>ROUND(D53/$D$68,3)</f>
        <v>0.29499999999999998</v>
      </c>
    </row>
    <row r="54" spans="1:5" ht="12.95" customHeight="1">
      <c r="C54" s="60" t="s">
        <v>76</v>
      </c>
      <c r="D54" s="61">
        <f>'TTUHSCEP Sum'!B11</f>
        <v>6114834</v>
      </c>
      <c r="E54" s="673">
        <f t="shared" ref="E54:E67" si="1">ROUND(D54/$D$68,3)</f>
        <v>2.4E-2</v>
      </c>
    </row>
    <row r="55" spans="1:5" ht="12.95" customHeight="1">
      <c r="C55" s="907"/>
      <c r="D55" s="61"/>
      <c r="E55" s="673"/>
    </row>
    <row r="56" spans="1:5" ht="12.95" customHeight="1">
      <c r="C56" s="60" t="str">
        <f>'TTUHSCEP Sum'!A13</f>
        <v>Higher Education Fund</v>
      </c>
      <c r="D56" s="61">
        <f>'TTUHSCEP Sum'!B13</f>
        <v>6234075</v>
      </c>
      <c r="E56" s="673">
        <f t="shared" si="1"/>
        <v>2.4E-2</v>
      </c>
    </row>
    <row r="57" spans="1:5" ht="12.95" customHeight="1">
      <c r="C57" s="907" t="s">
        <v>39</v>
      </c>
      <c r="D57" s="61">
        <f>'TTUHSCEP Sum'!B14</f>
        <v>0</v>
      </c>
      <c r="E57" s="673">
        <f t="shared" si="1"/>
        <v>0</v>
      </c>
    </row>
    <row r="58" spans="1:5" ht="12.95" customHeight="1">
      <c r="C58" s="60" t="s">
        <v>77</v>
      </c>
      <c r="D58" s="61">
        <f>'TTUHSCEP Sum'!B20</f>
        <v>8991570</v>
      </c>
      <c r="E58" s="673">
        <f t="shared" si="1"/>
        <v>3.5000000000000003E-2</v>
      </c>
    </row>
    <row r="59" spans="1:5" ht="12.95" customHeight="1">
      <c r="C59" s="66" t="s">
        <v>78</v>
      </c>
      <c r="D59" s="61">
        <f>'TTUHSCEP Sum'!B23</f>
        <v>3784539</v>
      </c>
      <c r="E59" s="673">
        <f t="shared" si="1"/>
        <v>1.4999999999999999E-2</v>
      </c>
    </row>
    <row r="60" spans="1:5" ht="12.95" customHeight="1">
      <c r="C60" s="60" t="s">
        <v>79</v>
      </c>
      <c r="D60" s="61">
        <f>'TTUHSCEP Sum'!B32</f>
        <v>5812776</v>
      </c>
      <c r="E60" s="673">
        <f t="shared" si="1"/>
        <v>2.3E-2</v>
      </c>
    </row>
    <row r="61" spans="1:5" ht="12.95" customHeight="1">
      <c r="C61" s="60" t="s">
        <v>198</v>
      </c>
      <c r="D61" s="61">
        <f>'TTUHSCEP Sum'!B33</f>
        <v>5263220</v>
      </c>
      <c r="E61" s="673">
        <f t="shared" si="1"/>
        <v>0.02</v>
      </c>
    </row>
    <row r="62" spans="1:5" ht="12.95" customHeight="1">
      <c r="C62" s="60" t="s">
        <v>80</v>
      </c>
      <c r="D62" s="61">
        <f>'TTUHSCEP Sum'!B34</f>
        <v>79443423</v>
      </c>
      <c r="E62" s="673">
        <f t="shared" si="1"/>
        <v>0.309</v>
      </c>
    </row>
    <row r="63" spans="1:5" ht="12.95" customHeight="1">
      <c r="C63" s="60" t="s">
        <v>81</v>
      </c>
      <c r="D63" s="61">
        <f>'TTUHSCEP Sum'!B35</f>
        <v>417606</v>
      </c>
      <c r="E63" s="673">
        <f t="shared" si="1"/>
        <v>2E-3</v>
      </c>
    </row>
    <row r="64" spans="1:5" ht="12.95" customHeight="1">
      <c r="C64" s="60" t="s">
        <v>12</v>
      </c>
      <c r="D64" s="61">
        <f>'TTUHSCEP Sum'!B36</f>
        <v>276566</v>
      </c>
      <c r="E64" s="673">
        <f t="shared" si="1"/>
        <v>1E-3</v>
      </c>
    </row>
    <row r="65" spans="1:5" ht="12.95" customHeight="1">
      <c r="C65" s="66" t="s">
        <v>48</v>
      </c>
      <c r="D65" s="61">
        <f>'TTUHSCEP Sum'!B37</f>
        <v>13007582</v>
      </c>
      <c r="E65" s="673">
        <f t="shared" si="1"/>
        <v>5.0999999999999997E-2</v>
      </c>
    </row>
    <row r="66" spans="1:5" ht="12.95" customHeight="1">
      <c r="C66" s="66" t="s">
        <v>57</v>
      </c>
      <c r="D66" s="61">
        <f>'TTUHSCEP Sum'!B26</f>
        <v>51823292</v>
      </c>
      <c r="E66" s="673">
        <f t="shared" si="1"/>
        <v>0.20200000000000001</v>
      </c>
    </row>
    <row r="67" spans="1:5" ht="12.95" customHeight="1">
      <c r="C67" s="912" t="s">
        <v>58</v>
      </c>
      <c r="D67" s="61">
        <f>'TTUHSCEP Sum'!B29</f>
        <v>0</v>
      </c>
      <c r="E67" s="673">
        <f t="shared" si="1"/>
        <v>0</v>
      </c>
    </row>
    <row r="68" spans="1:5" ht="12.95" customHeight="1">
      <c r="C68" s="63" t="s">
        <v>71</v>
      </c>
      <c r="D68" s="64">
        <f>SUM(D53:D67)</f>
        <v>256828948</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$256,828,948</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'TTUHSCEP Sum'!B42</f>
        <v>108245057</v>
      </c>
      <c r="E102" s="673">
        <f>ROUND(D102/$D$115,3)</f>
        <v>0.49099999999999999</v>
      </c>
    </row>
    <row r="103" spans="1:5" ht="12.95" customHeight="1">
      <c r="C103" s="68" t="s">
        <v>15</v>
      </c>
      <c r="D103" s="61">
        <f>'TTUHSCEP Sum'!B43</f>
        <v>11095002</v>
      </c>
      <c r="E103" s="673">
        <f t="shared" ref="E103:E113" si="2">ROUND(D103/$D$115,3)</f>
        <v>0.05</v>
      </c>
    </row>
    <row r="104" spans="1:5" ht="12.95" customHeight="1">
      <c r="C104" s="68" t="s">
        <v>16</v>
      </c>
      <c r="D104" s="61">
        <f>'TTUHSCEP Sum'!B44</f>
        <v>2820707</v>
      </c>
      <c r="E104" s="673">
        <f t="shared" si="2"/>
        <v>1.2999999999999999E-2</v>
      </c>
    </row>
    <row r="105" spans="1:5" ht="12.95" customHeight="1">
      <c r="C105" s="68" t="s">
        <v>17</v>
      </c>
      <c r="D105" s="61">
        <f>'TTUHSCEP Sum'!B46</f>
        <v>49800417</v>
      </c>
      <c r="E105" s="673">
        <f t="shared" si="2"/>
        <v>0.22600000000000001</v>
      </c>
    </row>
    <row r="106" spans="1:5" ht="12.95" customHeight="1">
      <c r="C106" s="68" t="s">
        <v>18</v>
      </c>
      <c r="D106" s="61">
        <f>'TTUHSCEP Sum'!B47</f>
        <v>3124008</v>
      </c>
      <c r="E106" s="673">
        <f t="shared" si="2"/>
        <v>1.4E-2</v>
      </c>
    </row>
    <row r="107" spans="1:5" ht="12.95" customHeight="1">
      <c r="C107" s="68" t="s">
        <v>19</v>
      </c>
      <c r="D107" s="61">
        <f>'TTUHSCEP Sum'!B48</f>
        <v>11916336</v>
      </c>
      <c r="E107" s="673">
        <f t="shared" si="2"/>
        <v>5.3999999999999999E-2</v>
      </c>
    </row>
    <row r="108" spans="1:5" ht="12.95" customHeight="1">
      <c r="C108" s="68" t="s">
        <v>82</v>
      </c>
      <c r="D108" s="61">
        <f>'TTUHSCEP Sum'!B49</f>
        <v>10519841</v>
      </c>
      <c r="E108" s="673">
        <f t="shared" si="2"/>
        <v>4.8000000000000001E-2</v>
      </c>
    </row>
    <row r="109" spans="1:5" ht="12.95" customHeight="1">
      <c r="C109" s="68" t="s">
        <v>83</v>
      </c>
      <c r="D109" s="61">
        <f>'TTUHSCEP Sum'!B50</f>
        <v>713519</v>
      </c>
      <c r="E109" s="673">
        <f t="shared" si="2"/>
        <v>3.0000000000000001E-3</v>
      </c>
    </row>
    <row r="110" spans="1:5" ht="12.95" customHeight="1">
      <c r="C110" s="68" t="s">
        <v>22</v>
      </c>
      <c r="D110" s="61">
        <f>'TTUHSCEP Sum'!B51</f>
        <v>216044</v>
      </c>
      <c r="E110" s="673">
        <f t="shared" si="2"/>
        <v>1E-3</v>
      </c>
    </row>
    <row r="111" spans="1:5" ht="12.95" customHeight="1">
      <c r="C111" s="68" t="s">
        <v>27</v>
      </c>
      <c r="D111" s="61">
        <f>'TTUHSCEP Sum'!B52</f>
        <v>1515069</v>
      </c>
      <c r="E111" s="673">
        <f t="shared" si="2"/>
        <v>7.0000000000000001E-3</v>
      </c>
    </row>
    <row r="112" spans="1:5" ht="12.95" customHeight="1">
      <c r="C112" s="66" t="s">
        <v>49</v>
      </c>
      <c r="D112" s="61">
        <f>'TTUHSCEP Sum'!B53</f>
        <v>0</v>
      </c>
      <c r="E112" s="673">
        <f t="shared" si="2"/>
        <v>0</v>
      </c>
    </row>
    <row r="113" spans="3:5" ht="12.95" customHeight="1">
      <c r="C113" s="62" t="s">
        <v>84</v>
      </c>
      <c r="D113" s="61">
        <f>'TTUHSCEP Sum'!B45</f>
        <v>20371013</v>
      </c>
      <c r="E113" s="673">
        <f t="shared" si="2"/>
        <v>9.1999999999999998E-2</v>
      </c>
    </row>
    <row r="114" spans="3:5" ht="12.95" customHeight="1">
      <c r="C114" s="58"/>
      <c r="D114" s="58"/>
      <c r="E114" s="674"/>
    </row>
    <row r="115" spans="3:5" ht="12.95" customHeight="1">
      <c r="C115" s="70" t="s">
        <v>72</v>
      </c>
      <c r="D115" s="64">
        <f>SUM(D102:D114)</f>
        <v>220337013</v>
      </c>
      <c r="E115" s="674">
        <f>SUM(E102:E113)</f>
        <v>0.99900000000000011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$220,337,013</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'TTUHSCEP Chts'!$A$1</f>
        <v>Texas Tech University Health Sciences Center at El Paso</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1101">
        <f>VLOOKUP(A1,NamesLU,2,FALSE)</f>
        <v>862</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737.31000000000006</v>
      </c>
      <c r="J6" s="643"/>
      <c r="O6" s="51"/>
    </row>
    <row r="7" spans="1:15">
      <c r="B7" s="79"/>
      <c r="C7" s="5"/>
      <c r="I7" s="683" t="s">
        <v>1114</v>
      </c>
      <c r="J7" s="684"/>
      <c r="O7" s="51"/>
    </row>
    <row r="8" spans="1:15">
      <c r="A8" s="81" t="s">
        <v>74</v>
      </c>
      <c r="B8" s="81"/>
      <c r="C8" s="15"/>
      <c r="I8" s="685">
        <f>VLOOKUP($G$2,FTSELU,11,FALSE)</f>
        <v>280.64</v>
      </c>
      <c r="J8" s="643"/>
      <c r="O8" s="51"/>
    </row>
    <row r="9" spans="1:15" ht="12.75" customHeight="1" thickBot="1">
      <c r="A9" s="78" t="s">
        <v>0</v>
      </c>
      <c r="B9" s="82"/>
      <c r="C9" s="8"/>
      <c r="J9" s="643"/>
      <c r="O9" s="51"/>
    </row>
    <row r="10" spans="1:15" ht="12.75" customHeight="1" thickTop="1">
      <c r="A10" s="74" t="s">
        <v>1108</v>
      </c>
      <c r="B10" s="83">
        <f>'TTUHSCEP FGD'!M10</f>
        <v>75659465</v>
      </c>
      <c r="C10" s="83">
        <f>ROUND(B10/$C$6,0)</f>
        <v>102616</v>
      </c>
      <c r="D10" s="143">
        <f>'TTUHSCEP FGD'!F10</f>
        <v>0</v>
      </c>
      <c r="E10" s="143"/>
      <c r="F10" s="84">
        <f>B10-(SUM(D10:E10))</f>
        <v>75659465</v>
      </c>
      <c r="G10" s="980" t="s">
        <v>1</v>
      </c>
      <c r="H10" s="981"/>
      <c r="I10" s="686" t="s">
        <v>1115</v>
      </c>
      <c r="J10" s="644">
        <f>ROUND(F10/$C$6,0)</f>
        <v>102616</v>
      </c>
      <c r="O10" s="51"/>
    </row>
    <row r="11" spans="1:15" ht="12.75" customHeight="1" thickBot="1">
      <c r="A11" s="74" t="s">
        <v>2</v>
      </c>
      <c r="B11" s="86">
        <f>'TTUHSCEP FGD'!M11</f>
        <v>6114834</v>
      </c>
      <c r="C11" s="86">
        <f t="shared" ref="C11:C14" si="0">ROUND(B11/$C$6,0)</f>
        <v>8293</v>
      </c>
      <c r="D11" s="284">
        <f>'TTUHSCEP FGD'!F11</f>
        <v>0</v>
      </c>
      <c r="E11" s="73"/>
      <c r="F11" s="566">
        <f t="shared" ref="F11:F14" si="1">B11-(SUM(D11:E11))</f>
        <v>6114834</v>
      </c>
      <c r="G11" s="987">
        <f>SUM(F10:F11)</f>
        <v>81774299</v>
      </c>
      <c r="H11" s="777"/>
      <c r="I11" s="791">
        <f>ROUND($G$11/$C$6,0)</f>
        <v>110909</v>
      </c>
      <c r="J11" s="645">
        <f t="shared" ref="J11:J14" si="2">ROUND(F11/$C$6,0)</f>
        <v>8293</v>
      </c>
      <c r="O11" s="51"/>
    </row>
    <row r="12" spans="1:15" ht="12.75" hidden="1" customHeight="1" thickTop="1" thickBot="1">
      <c r="A12" s="74" t="s">
        <v>1345</v>
      </c>
      <c r="B12" s="86"/>
      <c r="C12" s="86"/>
      <c r="D12" s="284"/>
      <c r="E12" s="73"/>
      <c r="F12" s="567"/>
      <c r="J12" s="645"/>
      <c r="O12" s="568"/>
    </row>
    <row r="13" spans="1:15" ht="12.75" customHeight="1" thickTop="1">
      <c r="A13" s="74" t="s">
        <v>1298</v>
      </c>
      <c r="B13" s="86">
        <f>'TTUHSCEP FGD'!M13</f>
        <v>6234075</v>
      </c>
      <c r="C13" s="86">
        <f t="shared" si="0"/>
        <v>8455</v>
      </c>
      <c r="D13" s="284">
        <f>'TTUHSCEP FGD'!F13</f>
        <v>0</v>
      </c>
      <c r="E13" s="73"/>
      <c r="F13" s="786">
        <f t="shared" si="1"/>
        <v>6234075</v>
      </c>
      <c r="G13" s="780" t="s">
        <v>86</v>
      </c>
      <c r="H13" s="787"/>
      <c r="I13" s="731" t="s">
        <v>1116</v>
      </c>
      <c r="J13" s="645">
        <f t="shared" si="2"/>
        <v>8455</v>
      </c>
      <c r="O13" s="51"/>
    </row>
    <row r="14" spans="1:15" ht="12.75" customHeight="1" thickBot="1">
      <c r="A14" s="74" t="s">
        <v>46</v>
      </c>
      <c r="B14" s="86">
        <f>'TTUHSCEP FGD'!M14</f>
        <v>0</v>
      </c>
      <c r="C14" s="86">
        <f t="shared" si="0"/>
        <v>0</v>
      </c>
      <c r="D14" s="284">
        <f>'TTUHSCEP FGD'!F14</f>
        <v>0</v>
      </c>
      <c r="E14" s="73"/>
      <c r="F14" s="567">
        <f t="shared" si="1"/>
        <v>0</v>
      </c>
      <c r="G14" s="687">
        <f>SUM(F13:F14)</f>
        <v>6234075</v>
      </c>
      <c r="H14" s="788"/>
      <c r="I14" s="792">
        <f>ROUND($G$11/$I$8,0)</f>
        <v>291385</v>
      </c>
      <c r="J14" s="689">
        <f t="shared" si="2"/>
        <v>0</v>
      </c>
      <c r="O14" s="51"/>
    </row>
    <row r="15" spans="1:15" ht="12.75" customHeight="1" thickTop="1">
      <c r="A15" s="87" t="s">
        <v>3</v>
      </c>
      <c r="B15" s="88">
        <f>SUM(B10:B14)</f>
        <v>88008374</v>
      </c>
      <c r="C15" s="88">
        <f>SUM(C10:C14)</f>
        <v>119364</v>
      </c>
      <c r="D15" s="88">
        <f>SUM(D10:D14)</f>
        <v>0</v>
      </c>
      <c r="E15" s="88">
        <f>SUM(E10:E14)</f>
        <v>0</v>
      </c>
      <c r="F15" s="646">
        <f>SUM(F10:F14)</f>
        <v>88008374</v>
      </c>
      <c r="I15" s="914"/>
      <c r="J15" s="669">
        <f>SUM(J10:J14)</f>
        <v>119364</v>
      </c>
      <c r="O15" s="51"/>
    </row>
    <row r="16" spans="1:15">
      <c r="C16" s="74"/>
      <c r="J16" s="643"/>
      <c r="O16" s="51"/>
    </row>
    <row r="17" spans="1:15" ht="12.75" customHeight="1">
      <c r="A17" s="78" t="s">
        <v>4</v>
      </c>
      <c r="C17" s="74"/>
      <c r="J17" s="643"/>
      <c r="O17" s="51"/>
    </row>
    <row r="18" spans="1:15">
      <c r="A18" s="74" t="s">
        <v>37</v>
      </c>
      <c r="B18" s="83">
        <f>'TTUHSCEP FGD'!M29</f>
        <v>6573916</v>
      </c>
      <c r="C18" s="83">
        <f t="shared" ref="C18:C19" si="3">ROUND(B18/$C$6,0)</f>
        <v>8916</v>
      </c>
      <c r="D18" s="143">
        <f>'TTUHSCEP FGD'!$F$29</f>
        <v>0</v>
      </c>
      <c r="E18" s="143"/>
      <c r="F18" s="143">
        <f t="shared" ref="F18:F19" si="4">B18-(SUM(D18:E18))</f>
        <v>6573916</v>
      </c>
      <c r="G18" s="351"/>
      <c r="H18" s="351"/>
      <c r="I18" s="351"/>
      <c r="J18" s="644">
        <f>ROUND(F18/$C$6,0)</f>
        <v>8916</v>
      </c>
      <c r="O18" s="51"/>
    </row>
    <row r="19" spans="1:15" ht="13.5" thickBot="1">
      <c r="A19" s="74" t="s">
        <v>38</v>
      </c>
      <c r="B19" s="86">
        <f>'TTUHSCEP FGD'!M42</f>
        <v>2417654</v>
      </c>
      <c r="C19" s="86">
        <f t="shared" si="3"/>
        <v>3279</v>
      </c>
      <c r="D19" s="73">
        <f>'TTUHSCEP FGD'!$F$42</f>
        <v>0</v>
      </c>
      <c r="E19" s="73"/>
      <c r="F19" s="73">
        <f t="shared" si="4"/>
        <v>2417654</v>
      </c>
      <c r="G19" s="351"/>
      <c r="H19" s="351"/>
      <c r="I19" s="351"/>
      <c r="J19" s="645">
        <f>ROUND(F19/$C$6,0)</f>
        <v>3279</v>
      </c>
      <c r="O19" s="51"/>
    </row>
    <row r="20" spans="1:15" ht="14.25" thickTop="1" thickBot="1">
      <c r="A20" s="87" t="s">
        <v>5</v>
      </c>
      <c r="B20" s="88">
        <f>SUM(B18:B19)</f>
        <v>8991570</v>
      </c>
      <c r="C20" s="88">
        <f>SUM(C18:C19)</f>
        <v>12195</v>
      </c>
      <c r="D20" s="647">
        <f>SUM(D18:D19)</f>
        <v>0</v>
      </c>
      <c r="E20" s="648">
        <f>SUM(E18:E19)</f>
        <v>0</v>
      </c>
      <c r="F20" s="690">
        <f>SUM(F18:F19)</f>
        <v>8991570</v>
      </c>
      <c r="G20" s="650" t="s">
        <v>87</v>
      </c>
      <c r="H20" s="569"/>
      <c r="I20" s="570"/>
      <c r="J20" s="651">
        <f>SUM(J18:J19)</f>
        <v>12195</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'TTUHSCEP FGD'!M47</f>
        <v>3784539</v>
      </c>
      <c r="C23" s="88"/>
      <c r="D23" s="647">
        <f>'TTUHSCEP FGD'!F47</f>
        <v>0</v>
      </c>
      <c r="E23" s="648"/>
      <c r="F23" s="690">
        <f>B23-(SUM(D23:E23))</f>
        <v>3784539</v>
      </c>
      <c r="G23" s="652" t="s">
        <v>1162</v>
      </c>
      <c r="H23" s="569"/>
      <c r="I23" s="570"/>
      <c r="J23" s="668">
        <f>ROUND(F23/$C$6,0)</f>
        <v>5133</v>
      </c>
      <c r="O23" s="51"/>
    </row>
    <row r="24" spans="1:15" ht="13.5" thickTop="1">
      <c r="C24" s="74"/>
      <c r="J24" s="643"/>
      <c r="O24" s="51"/>
    </row>
    <row r="25" spans="1:15">
      <c r="A25" s="78" t="s">
        <v>57</v>
      </c>
      <c r="C25" s="74"/>
      <c r="D25" s="73"/>
      <c r="H25" s="351"/>
      <c r="J25" s="643"/>
      <c r="O25" s="51"/>
    </row>
    <row r="26" spans="1:15">
      <c r="A26" s="87" t="s">
        <v>56</v>
      </c>
      <c r="B26" s="88">
        <f>'TTUHSCEP FGD'!M50</f>
        <v>51823292</v>
      </c>
      <c r="C26" s="88"/>
      <c r="D26" s="88">
        <f>'TTUHSCEP FGD'!F50</f>
        <v>0</v>
      </c>
      <c r="E26" s="88">
        <f>B26-D26</f>
        <v>51823292</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'TTUHSCEP FGD'!M53</f>
        <v>0</v>
      </c>
      <c r="C29" s="88"/>
      <c r="D29" s="88">
        <f>'TTUHSCEP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'TTUHSCEP FGD'!M56</f>
        <v>5812776</v>
      </c>
      <c r="C32" s="83"/>
      <c r="D32" s="143">
        <f>'TTUHSCEP FGD'!F56</f>
        <v>7201</v>
      </c>
      <c r="E32" s="143"/>
      <c r="F32" s="143">
        <f t="shared" ref="F32:F37" si="7">B32-(SUM(D32:E32))</f>
        <v>5805575</v>
      </c>
      <c r="G32" s="351"/>
      <c r="H32" s="351"/>
      <c r="I32" s="351"/>
      <c r="J32" s="644">
        <f>ROUND(F32/$C$6,0)</f>
        <v>7874</v>
      </c>
      <c r="O32" s="51"/>
    </row>
    <row r="33" spans="1:30">
      <c r="A33" s="74" t="s">
        <v>9</v>
      </c>
      <c r="B33" s="86">
        <f>'TTUHSCEP FGD'!M57</f>
        <v>5263220</v>
      </c>
      <c r="C33" s="86"/>
      <c r="D33" s="284">
        <f>'TTUHSCEP FGD'!F57</f>
        <v>0</v>
      </c>
      <c r="E33" s="73"/>
      <c r="F33" s="73">
        <f t="shared" si="7"/>
        <v>5263220</v>
      </c>
      <c r="G33" s="351"/>
      <c r="H33" s="351"/>
      <c r="I33" s="351"/>
      <c r="J33" s="645">
        <f t="shared" ref="J33:J37" si="8">ROUND(F33/$C$6,0)</f>
        <v>7138</v>
      </c>
      <c r="O33" s="51"/>
    </row>
    <row r="34" spans="1:30" ht="13.5" thickBot="1">
      <c r="A34" s="74" t="s">
        <v>10</v>
      </c>
      <c r="B34" s="86">
        <f>'TTUHSCEP FGD'!M58</f>
        <v>79443423</v>
      </c>
      <c r="C34" s="86"/>
      <c r="D34" s="284">
        <f>'TTUHSCEP FGD'!F58</f>
        <v>0</v>
      </c>
      <c r="E34" s="73"/>
      <c r="F34" s="73">
        <f t="shared" si="7"/>
        <v>79443423</v>
      </c>
      <c r="G34" s="351"/>
      <c r="H34" s="351"/>
      <c r="I34" s="351"/>
      <c r="J34" s="645">
        <f t="shared" si="8"/>
        <v>107748</v>
      </c>
      <c r="O34" s="51"/>
    </row>
    <row r="35" spans="1:30" ht="13.5" thickBot="1">
      <c r="A35" s="74" t="s">
        <v>11</v>
      </c>
      <c r="B35" s="86">
        <f>'TTUHSCEP FGD'!M59</f>
        <v>417606</v>
      </c>
      <c r="C35" s="86"/>
      <c r="D35" s="284">
        <f>'TTUHSCEP FGD'!F59</f>
        <v>0</v>
      </c>
      <c r="E35" s="73"/>
      <c r="F35" s="73">
        <f t="shared" si="7"/>
        <v>417606</v>
      </c>
      <c r="G35" s="351"/>
      <c r="H35" s="351"/>
      <c r="I35" s="351"/>
      <c r="J35" s="645">
        <f t="shared" si="8"/>
        <v>566</v>
      </c>
      <c r="K35" s="1262"/>
      <c r="L35" s="1245"/>
      <c r="M35" s="1245"/>
      <c r="N35" s="1245"/>
      <c r="O35" s="1246"/>
    </row>
    <row r="36" spans="1:30" ht="13.5" thickBot="1">
      <c r="A36" s="92" t="s">
        <v>1362</v>
      </c>
      <c r="B36" s="86">
        <f>'TTUHSCEP FGD'!M60</f>
        <v>276566</v>
      </c>
      <c r="C36" s="86"/>
      <c r="D36" s="284">
        <f>'TTUHSCEP FGD'!F60</f>
        <v>276566</v>
      </c>
      <c r="E36" s="73"/>
      <c r="F36" s="73">
        <f t="shared" si="7"/>
        <v>0</v>
      </c>
      <c r="G36" s="351"/>
      <c r="H36" s="351"/>
      <c r="I36" s="351"/>
      <c r="J36" s="645">
        <f t="shared" si="8"/>
        <v>0</v>
      </c>
      <c r="K36" s="1262" t="s">
        <v>1017</v>
      </c>
      <c r="L36" s="1245"/>
      <c r="M36" s="1245"/>
      <c r="N36" s="1245"/>
      <c r="O36" s="1246"/>
    </row>
    <row r="37" spans="1:30" ht="13.5" customHeight="1" thickBot="1">
      <c r="A37" s="93" t="s">
        <v>41</v>
      </c>
      <c r="B37" s="86">
        <f>'TTUHSCEP FGD'!M61</f>
        <v>13007582</v>
      </c>
      <c r="C37" s="86"/>
      <c r="D37" s="284">
        <f>'TTUHSCEP FGD'!F61</f>
        <v>0</v>
      </c>
      <c r="E37" s="73"/>
      <c r="F37" s="73">
        <f t="shared" si="7"/>
        <v>13007582</v>
      </c>
      <c r="G37" s="24"/>
      <c r="H37" s="24"/>
      <c r="I37" s="577"/>
      <c r="J37" s="645">
        <f t="shared" si="8"/>
        <v>17642</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104221173</v>
      </c>
      <c r="C38" s="88"/>
      <c r="D38" s="291">
        <f>SUM(D32:D37)</f>
        <v>283767</v>
      </c>
      <c r="E38" s="291">
        <f>SUM(E32:E37)</f>
        <v>0</v>
      </c>
      <c r="F38" s="692">
        <f>SUM(F32:F37)</f>
        <v>103937406</v>
      </c>
      <c r="G38" s="1259" t="s">
        <v>8</v>
      </c>
      <c r="H38" s="1260"/>
      <c r="I38" s="693" t="s">
        <v>1118</v>
      </c>
      <c r="J38" s="653">
        <f>SUM(J32:J37)</f>
        <v>140968</v>
      </c>
      <c r="K38" s="1264"/>
      <c r="L38" s="1264"/>
      <c r="M38" s="1264"/>
      <c r="N38" s="1264" t="s">
        <v>1021</v>
      </c>
      <c r="O38" s="1264" t="s">
        <v>1022</v>
      </c>
    </row>
    <row r="39" spans="1:30" ht="13.5" thickTop="1">
      <c r="A39" s="94" t="s">
        <v>71</v>
      </c>
      <c r="B39" s="47">
        <f>B15+B20+B23+B26+B29+B38</f>
        <v>256828948</v>
      </c>
      <c r="C39" s="139"/>
      <c r="D39" s="47">
        <f>D15+D20+D23+D26+D29+D38</f>
        <v>283767</v>
      </c>
      <c r="E39" s="47">
        <f>E15+E20+E23+E26+E29+E38</f>
        <v>51823292</v>
      </c>
      <c r="F39" s="778">
        <f>F38+F23+F20+F15</f>
        <v>204721889</v>
      </c>
      <c r="G39" s="1261" t="s">
        <v>89</v>
      </c>
      <c r="H39" s="1261"/>
      <c r="I39" s="793">
        <f>ROUND($G$41/$C$6,0)</f>
        <v>269205</v>
      </c>
      <c r="J39" s="654">
        <f>J15+J20+J23+J38</f>
        <v>277660</v>
      </c>
      <c r="K39" s="1264"/>
      <c r="L39" s="1264"/>
      <c r="M39" s="1264"/>
      <c r="N39" s="1264"/>
      <c r="O39" s="1264"/>
    </row>
    <row r="40" spans="1:30" ht="13.5" thickBot="1">
      <c r="C40" s="74"/>
      <c r="D40" s="351"/>
      <c r="E40" s="351"/>
      <c r="F40" s="351" t="s">
        <v>1163</v>
      </c>
      <c r="G40" s="779">
        <f>G14*-1</f>
        <v>-6234075</v>
      </c>
      <c r="H40" s="351"/>
      <c r="I40" s="693" t="s">
        <v>1120</v>
      </c>
      <c r="J40" s="655"/>
      <c r="K40" s="1265"/>
      <c r="L40" s="1265"/>
      <c r="M40" s="1265"/>
      <c r="N40" s="1265"/>
      <c r="O40" s="1265"/>
    </row>
    <row r="41" spans="1:30" ht="14.25" thickTop="1" thickBot="1">
      <c r="A41" s="81" t="s">
        <v>75</v>
      </c>
      <c r="B41" s="81"/>
      <c r="C41" s="81"/>
      <c r="D41" s="656"/>
      <c r="E41" s="656"/>
      <c r="F41" s="694" t="s">
        <v>1119</v>
      </c>
      <c r="G41" s="695">
        <f>F39+G40</f>
        <v>198487814</v>
      </c>
      <c r="I41" s="1046">
        <f>ROUND($G$41/$I$8,0)</f>
        <v>707268</v>
      </c>
      <c r="K41" s="571"/>
      <c r="L41" s="571"/>
      <c r="M41" s="571"/>
      <c r="N41" s="571"/>
      <c r="O41" s="571"/>
    </row>
    <row r="42" spans="1:30" ht="13.5" thickTop="1">
      <c r="A42" s="95" t="s">
        <v>14</v>
      </c>
      <c r="B42" s="83">
        <f>'TTUHSCEP FGD'!M65</f>
        <v>108245057</v>
      </c>
      <c r="C42" s="83">
        <f t="shared" ref="C42:C52" si="9">ROUND(B42/$C$6,0)</f>
        <v>146811</v>
      </c>
      <c r="D42" s="143">
        <f>'TTUHSCEP FGD'!F65</f>
        <v>0</v>
      </c>
      <c r="E42" s="143"/>
      <c r="F42" s="143">
        <f t="shared" ref="F42" si="10">B42-(SUM(D42:E42))</f>
        <v>108245057</v>
      </c>
      <c r="G42" s="351"/>
      <c r="H42" s="1048" t="s">
        <v>1394</v>
      </c>
      <c r="I42" s="1047">
        <f>ROUND(F42/$C$6,0)</f>
        <v>146811</v>
      </c>
      <c r="J42" s="351" t="s">
        <v>669</v>
      </c>
      <c r="K42" s="143">
        <f>F42</f>
        <v>108245057</v>
      </c>
      <c r="L42" s="143">
        <f>K42</f>
        <v>108245057</v>
      </c>
      <c r="M42" s="143"/>
      <c r="N42" s="143"/>
      <c r="O42" s="143"/>
    </row>
    <row r="43" spans="1:30">
      <c r="A43" s="95" t="s">
        <v>15</v>
      </c>
      <c r="B43" s="86">
        <f>'TTUHSCEP FGD'!M66</f>
        <v>11095002</v>
      </c>
      <c r="C43" s="86">
        <f t="shared" si="9"/>
        <v>15048</v>
      </c>
      <c r="D43" s="357">
        <f>'TTUHSCEP FGD'!F66</f>
        <v>0</v>
      </c>
      <c r="E43" s="73"/>
      <c r="F43" s="73">
        <f t="shared" ref="F43:F44" si="11">B43-(SUM(D43:E43))</f>
        <v>11095002</v>
      </c>
      <c r="G43" s="351"/>
      <c r="H43" s="351"/>
      <c r="J43" s="351" t="s">
        <v>1093</v>
      </c>
      <c r="K43" s="357">
        <f>F43</f>
        <v>11095002</v>
      </c>
      <c r="L43" s="357">
        <f>K43</f>
        <v>11095002</v>
      </c>
      <c r="M43" s="357"/>
      <c r="N43" s="357"/>
      <c r="O43" s="357"/>
    </row>
    <row r="44" spans="1:30">
      <c r="A44" s="95" t="s">
        <v>16</v>
      </c>
      <c r="B44" s="86">
        <f>'TTUHSCEP FGD'!M67</f>
        <v>2820707</v>
      </c>
      <c r="C44" s="86"/>
      <c r="D44" s="357">
        <f>'TTUHSCEP FGD'!F67</f>
        <v>0</v>
      </c>
      <c r="E44" s="284">
        <f>B44-D44</f>
        <v>2820707</v>
      </c>
      <c r="F44" s="73">
        <f t="shared" si="11"/>
        <v>0</v>
      </c>
      <c r="G44" s="351"/>
      <c r="H44" s="351"/>
      <c r="I44" s="351"/>
      <c r="J44" s="351" t="s">
        <v>1094</v>
      </c>
      <c r="K44" s="670"/>
      <c r="L44" s="671"/>
      <c r="M44" s="671" t="s">
        <v>1095</v>
      </c>
      <c r="N44" s="671"/>
      <c r="O44" s="672"/>
    </row>
    <row r="45" spans="1:30">
      <c r="A45" s="96" t="s">
        <v>55</v>
      </c>
      <c r="B45" s="86">
        <f>'TTUHSCEP FGD'!M68</f>
        <v>20371013</v>
      </c>
      <c r="C45" s="86"/>
      <c r="D45" s="357">
        <f>'TTUHSCEP FGD'!F68</f>
        <v>0</v>
      </c>
      <c r="E45" s="284">
        <f>B45-D45</f>
        <v>20371013</v>
      </c>
      <c r="F45" s="73">
        <f t="shared" ref="F45:F53" si="12">B45-(SUM(D45:E45))</f>
        <v>0</v>
      </c>
      <c r="G45" s="776"/>
      <c r="J45" s="51" t="s">
        <v>1096</v>
      </c>
      <c r="K45" s="1266" t="s">
        <v>1095</v>
      </c>
      <c r="L45" s="1267"/>
      <c r="M45" s="1267"/>
      <c r="N45" s="1267"/>
      <c r="O45" s="1268"/>
    </row>
    <row r="46" spans="1:30">
      <c r="A46" s="95" t="s">
        <v>17</v>
      </c>
      <c r="B46" s="86">
        <f>'TTUHSCEP FGD'!M69</f>
        <v>49800417</v>
      </c>
      <c r="C46" s="86">
        <f t="shared" si="9"/>
        <v>67543</v>
      </c>
      <c r="D46" s="357">
        <f>'TTUHSCEP FGD'!F69</f>
        <v>0</v>
      </c>
      <c r="E46" s="73"/>
      <c r="F46" s="73">
        <f t="shared" si="12"/>
        <v>49800417</v>
      </c>
      <c r="G46" s="351"/>
      <c r="H46" s="1048" t="s">
        <v>1395</v>
      </c>
      <c r="I46" s="1047">
        <f>ROUND(F46/$C$6,0)</f>
        <v>67543</v>
      </c>
      <c r="J46" s="351" t="s">
        <v>1097</v>
      </c>
      <c r="K46" s="357">
        <f t="shared" ref="K46:K50" si="13">F46</f>
        <v>49800417</v>
      </c>
      <c r="L46" s="357">
        <f>K46</f>
        <v>49800417</v>
      </c>
      <c r="M46" s="357"/>
      <c r="N46" s="357"/>
      <c r="O46" s="357"/>
    </row>
    <row r="47" spans="1:30">
      <c r="A47" s="95" t="s">
        <v>18</v>
      </c>
      <c r="B47" s="86">
        <f>'TTUHSCEP FGD'!M70</f>
        <v>3124008</v>
      </c>
      <c r="C47" s="86">
        <f t="shared" si="9"/>
        <v>4237</v>
      </c>
      <c r="D47" s="357">
        <f>'TTUHSCEP FGD'!F70</f>
        <v>0</v>
      </c>
      <c r="E47" s="73"/>
      <c r="F47" s="73">
        <f t="shared" si="12"/>
        <v>3124008</v>
      </c>
      <c r="G47" s="351"/>
      <c r="H47" s="351"/>
      <c r="I47" s="351"/>
      <c r="J47" s="351" t="s">
        <v>1098</v>
      </c>
      <c r="K47" s="357">
        <f t="shared" si="13"/>
        <v>3124008</v>
      </c>
      <c r="L47" s="357"/>
      <c r="M47" s="357">
        <f>K47</f>
        <v>3124008</v>
      </c>
      <c r="N47" s="357"/>
      <c r="O47" s="357"/>
    </row>
    <row r="48" spans="1:30">
      <c r="A48" s="95" t="s">
        <v>19</v>
      </c>
      <c r="B48" s="86">
        <f>'TTUHSCEP FGD'!M71</f>
        <v>11916336</v>
      </c>
      <c r="C48" s="86">
        <f t="shared" si="9"/>
        <v>16162</v>
      </c>
      <c r="D48" s="357">
        <f>'TTUHSCEP FGD'!F71</f>
        <v>0</v>
      </c>
      <c r="E48" s="73"/>
      <c r="F48" s="73">
        <f t="shared" si="12"/>
        <v>11916336</v>
      </c>
      <c r="G48" s="351"/>
      <c r="H48" s="1048" t="s">
        <v>1396</v>
      </c>
      <c r="I48" s="1047">
        <f>ROUND(F48/$C$6,0)</f>
        <v>16162</v>
      </c>
      <c r="J48" s="351" t="s">
        <v>675</v>
      </c>
      <c r="K48" s="357">
        <f t="shared" si="13"/>
        <v>11916336</v>
      </c>
      <c r="L48" s="357"/>
      <c r="M48" s="357"/>
      <c r="N48" s="357">
        <f>K48</f>
        <v>11916336</v>
      </c>
      <c r="O48" s="357"/>
    </row>
    <row r="49" spans="1:30">
      <c r="A49" s="95" t="s">
        <v>20</v>
      </c>
      <c r="B49" s="86">
        <f>'TTUHSCEP FGD'!M72</f>
        <v>10519841</v>
      </c>
      <c r="C49" s="86"/>
      <c r="D49" s="357">
        <f>'TTUHSCEP FGD'!F72</f>
        <v>0</v>
      </c>
      <c r="E49" s="73"/>
      <c r="F49" s="73">
        <f t="shared" si="12"/>
        <v>10519841</v>
      </c>
      <c r="G49" s="351"/>
      <c r="H49" s="351"/>
      <c r="I49" s="351"/>
      <c r="J49" s="351" t="s">
        <v>676</v>
      </c>
      <c r="K49" s="357">
        <f t="shared" si="13"/>
        <v>10519841</v>
      </c>
      <c r="L49" s="357"/>
      <c r="M49" s="357"/>
      <c r="N49" s="357">
        <f>K49</f>
        <v>10519841</v>
      </c>
      <c r="O49" s="357"/>
    </row>
    <row r="50" spans="1:30">
      <c r="A50" s="95" t="s">
        <v>21</v>
      </c>
      <c r="B50" s="86">
        <f>'TTUHSCEP FGD'!M73</f>
        <v>713519</v>
      </c>
      <c r="C50" s="86">
        <f t="shared" si="9"/>
        <v>968</v>
      </c>
      <c r="D50" s="357">
        <f>'TTUHSCEP FGD'!F73</f>
        <v>0</v>
      </c>
      <c r="E50" s="73"/>
      <c r="F50" s="73">
        <f t="shared" si="12"/>
        <v>713519</v>
      </c>
      <c r="G50" s="351"/>
      <c r="H50" s="351"/>
      <c r="I50" s="351"/>
      <c r="J50" s="351" t="s">
        <v>1099</v>
      </c>
      <c r="K50" s="357">
        <f t="shared" si="13"/>
        <v>713519</v>
      </c>
      <c r="L50" s="357"/>
      <c r="M50" s="357">
        <f>K50</f>
        <v>713519</v>
      </c>
      <c r="N50" s="357"/>
      <c r="O50" s="357"/>
    </row>
    <row r="51" spans="1:30">
      <c r="A51" s="95" t="s">
        <v>1363</v>
      </c>
      <c r="B51" s="86">
        <f>'TTUHSCEP FGD'!M74</f>
        <v>216044</v>
      </c>
      <c r="C51" s="86"/>
      <c r="D51" s="657">
        <f>B51</f>
        <v>216044</v>
      </c>
      <c r="E51" s="73"/>
      <c r="F51" s="73">
        <f t="shared" si="12"/>
        <v>0</v>
      </c>
      <c r="G51" s="351"/>
      <c r="H51" s="351"/>
      <c r="I51" s="351"/>
      <c r="J51" s="351" t="s">
        <v>660</v>
      </c>
      <c r="K51" s="670"/>
      <c r="L51" s="671"/>
      <c r="M51" s="671" t="s">
        <v>1095</v>
      </c>
      <c r="N51" s="671"/>
      <c r="O51" s="672"/>
    </row>
    <row r="52" spans="1:30">
      <c r="A52" s="95" t="s">
        <v>65</v>
      </c>
      <c r="B52" s="86">
        <f>'TTUHSCEP FGD'!M75</f>
        <v>1515069</v>
      </c>
      <c r="C52" s="86">
        <f t="shared" si="9"/>
        <v>2055</v>
      </c>
      <c r="D52" s="357">
        <f>'TTUHSCEP FGD'!F75</f>
        <v>0</v>
      </c>
      <c r="E52" s="73"/>
      <c r="F52" s="73">
        <f t="shared" si="12"/>
        <v>1515069</v>
      </c>
      <c r="G52" s="351"/>
      <c r="J52" s="351" t="s">
        <v>1100</v>
      </c>
      <c r="K52" s="357">
        <f t="shared" ref="K52:K53" si="14">F52</f>
        <v>1515069</v>
      </c>
      <c r="L52" s="357"/>
      <c r="M52" s="357"/>
      <c r="N52" s="357"/>
      <c r="O52" s="357">
        <f>K52</f>
        <v>1515069</v>
      </c>
    </row>
    <row r="53" spans="1:30" ht="13.5" thickBot="1">
      <c r="A53" s="74" t="s">
        <v>47</v>
      </c>
      <c r="B53" s="86">
        <f>'TTUHSCEP FGD'!M76</f>
        <v>0</v>
      </c>
      <c r="C53" s="86"/>
      <c r="D53" s="357">
        <f>'TTUHSCEP FGD'!F76</f>
        <v>0</v>
      </c>
      <c r="E53" s="73"/>
      <c r="F53" s="73">
        <f t="shared" si="12"/>
        <v>0</v>
      </c>
      <c r="G53" s="24"/>
      <c r="H53" s="1048" t="s">
        <v>1397</v>
      </c>
      <c r="I53" s="1047">
        <f>ROUND(SUM(F43+F47+F49+F50+F52+F53)/$C$6,0)</f>
        <v>36575</v>
      </c>
      <c r="J53" s="572" t="s">
        <v>1022</v>
      </c>
      <c r="K53" s="357">
        <f t="shared" si="14"/>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220337013</v>
      </c>
      <c r="C54" s="48">
        <f>SUM(C42:C53)</f>
        <v>252824</v>
      </c>
      <c r="D54" s="48">
        <f>SUM(D42:D53)</f>
        <v>216044</v>
      </c>
      <c r="E54" s="698">
        <f>SUM(E43:E53)</f>
        <v>23191720</v>
      </c>
      <c r="F54" s="649">
        <f>SUM(F42:F53)</f>
        <v>196929249</v>
      </c>
      <c r="G54" s="1279" t="s">
        <v>1121</v>
      </c>
      <c r="H54" s="1280"/>
      <c r="I54" s="697" t="s">
        <v>1398</v>
      </c>
      <c r="J54" s="572" t="s">
        <v>1101</v>
      </c>
      <c r="K54" s="574">
        <f>SUM(K42:K53)</f>
        <v>196929249</v>
      </c>
      <c r="L54" s="574">
        <f t="shared" ref="L54:O54" si="15">SUM(L42:L53)</f>
        <v>169140476</v>
      </c>
      <c r="M54" s="574">
        <f t="shared" si="15"/>
        <v>3837527</v>
      </c>
      <c r="N54" s="574">
        <f t="shared" si="15"/>
        <v>22436177</v>
      </c>
      <c r="O54" s="574">
        <f t="shared" si="15"/>
        <v>1515069</v>
      </c>
    </row>
    <row r="55" spans="1:30" ht="14.25" customHeight="1" thickTop="1" thickBot="1">
      <c r="A55" s="92"/>
      <c r="C55" s="74"/>
      <c r="F55" s="575"/>
      <c r="G55" s="1281"/>
      <c r="H55" s="1282"/>
      <c r="I55" s="699">
        <f>ROUND(F54/C6,0)</f>
        <v>267092</v>
      </c>
      <c r="J55" s="1258" t="s">
        <v>1102</v>
      </c>
      <c r="K55" s="573"/>
      <c r="L55" s="573"/>
      <c r="M55" s="573"/>
      <c r="N55" s="573"/>
      <c r="O55" s="573"/>
    </row>
    <row r="56" spans="1:30" ht="16.5" customHeight="1" thickBot="1">
      <c r="A56" s="78" t="s">
        <v>23</v>
      </c>
      <c r="C56" s="74"/>
      <c r="F56" s="576"/>
      <c r="G56" s="1283"/>
      <c r="H56" s="1284"/>
      <c r="I56" s="693" t="s">
        <v>1399</v>
      </c>
      <c r="J56" s="1258"/>
      <c r="K56" s="700">
        <f>ROUND(K54/$C$6,2)</f>
        <v>267091.52</v>
      </c>
      <c r="L56" s="700">
        <f t="shared" ref="L56:O56" si="16">ROUND(L54/$C$6,2)</f>
        <v>229402.12</v>
      </c>
      <c r="M56" s="700">
        <f t="shared" si="16"/>
        <v>5204.7700000000004</v>
      </c>
      <c r="N56" s="700">
        <f t="shared" si="16"/>
        <v>30429.77</v>
      </c>
      <c r="O56" s="700">
        <f t="shared" si="16"/>
        <v>2054.86</v>
      </c>
      <c r="P56" s="89"/>
      <c r="Q56" s="89"/>
      <c r="R56" s="89"/>
      <c r="S56" s="89"/>
      <c r="T56" s="89"/>
      <c r="U56" s="89"/>
      <c r="V56" s="89"/>
      <c r="W56" s="89"/>
      <c r="X56" s="89"/>
      <c r="Y56" s="89"/>
      <c r="Z56" s="89"/>
      <c r="AA56" s="89"/>
      <c r="AB56" s="89"/>
      <c r="AC56" s="89"/>
      <c r="AD56" s="89"/>
    </row>
    <row r="57" spans="1:30" ht="13.5" thickTop="1">
      <c r="A57" s="74" t="s">
        <v>66</v>
      </c>
      <c r="B57" s="86">
        <f>'TTUHSCEP FGD'!M80</f>
        <v>-27703730</v>
      </c>
      <c r="C57" s="86"/>
      <c r="D57" s="143">
        <f>'TTUHSCEP FGD'!F80</f>
        <v>0</v>
      </c>
      <c r="E57" s="143"/>
      <c r="F57" s="1045">
        <f t="shared" ref="F57:F60" si="17">B57-(SUM(D57:E57))</f>
        <v>-27703730</v>
      </c>
      <c r="G57" s="780"/>
      <c r="I57" s="696">
        <f>ROUND($F$54/$I$8,0)</f>
        <v>701715</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'TTUHSCEP FGD'!M81</f>
        <v>2125587</v>
      </c>
      <c r="C58" s="86"/>
      <c r="D58" s="285">
        <f>'TTUHSCEP FGD'!F81</f>
        <v>0</v>
      </c>
      <c r="E58" s="82"/>
      <c r="F58" s="73">
        <f t="shared" si="17"/>
        <v>2125587</v>
      </c>
      <c r="G58" s="351"/>
      <c r="J58" s="351"/>
      <c r="K58" s="578"/>
      <c r="L58" s="578"/>
      <c r="M58" s="578"/>
      <c r="N58" s="578"/>
      <c r="O58" s="578"/>
    </row>
    <row r="59" spans="1:30">
      <c r="A59" s="98" t="s">
        <v>52</v>
      </c>
      <c r="B59" s="86">
        <f>'TTUHSCEP FGD'!M82</f>
        <v>26692305</v>
      </c>
      <c r="C59" s="86"/>
      <c r="D59" s="285">
        <f>'TTUHSCEP FGD'!F82</f>
        <v>0</v>
      </c>
      <c r="E59" s="82"/>
      <c r="F59" s="73">
        <f t="shared" si="17"/>
        <v>26692305</v>
      </c>
      <c r="G59" s="24"/>
      <c r="J59" s="658"/>
      <c r="K59" s="658"/>
      <c r="L59" s="658"/>
      <c r="M59" s="658"/>
      <c r="N59" s="658"/>
      <c r="O59" s="658"/>
    </row>
    <row r="60" spans="1:30" ht="12" customHeight="1">
      <c r="A60" s="74" t="s">
        <v>43</v>
      </c>
      <c r="B60" s="86">
        <f>'TTUHSCEP FGD'!M83</f>
        <v>-12509606</v>
      </c>
      <c r="C60" s="86"/>
      <c r="D60" s="285">
        <f>'TTUHSCEP FGD'!F83</f>
        <v>0</v>
      </c>
      <c r="E60" s="82"/>
      <c r="F60" s="73">
        <f t="shared" si="17"/>
        <v>-12509606</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-11395444</v>
      </c>
      <c r="C61" s="88"/>
      <c r="D61" s="88">
        <f>SUM(D57:D60)</f>
        <v>0</v>
      </c>
      <c r="E61" s="88">
        <f>SUM(E57:E60)</f>
        <v>0</v>
      </c>
      <c r="F61" s="99">
        <f>SUM(F57:F60)</f>
        <v>-11395444</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'TTUHSCEP FGD'!M87</f>
        <v>2195474</v>
      </c>
      <c r="C64" s="86"/>
      <c r="D64" s="143">
        <f>'TTUHSCEP FGD'!F87</f>
        <v>0</v>
      </c>
      <c r="E64" s="143"/>
      <c r="F64" s="143">
        <f t="shared" ref="F64:F65" si="18">B64-(SUM(D64:E64))</f>
        <v>2195474</v>
      </c>
      <c r="O64" s="51"/>
    </row>
    <row r="65" spans="1:30">
      <c r="A65" s="74" t="s">
        <v>45</v>
      </c>
      <c r="B65" s="86">
        <f>'TTUHSCEP FGD'!M88</f>
        <v>756</v>
      </c>
      <c r="C65" s="86"/>
      <c r="D65" s="285">
        <f>'TTUHSCEP FGD'!F88</f>
        <v>0</v>
      </c>
      <c r="E65" s="82"/>
      <c r="F65" s="73">
        <f t="shared" si="18"/>
        <v>756</v>
      </c>
      <c r="O65" s="51"/>
      <c r="P65" s="89"/>
      <c r="Q65" s="89"/>
      <c r="R65" s="89"/>
      <c r="S65" s="89"/>
      <c r="T65" s="89"/>
      <c r="U65" s="89"/>
      <c r="V65" s="89"/>
      <c r="W65" s="89"/>
      <c r="X65" s="89"/>
      <c r="Y65" s="89"/>
      <c r="Z65" s="89"/>
      <c r="AA65" s="89"/>
      <c r="AB65" s="89"/>
      <c r="AC65" s="89"/>
      <c r="AD65" s="89"/>
    </row>
    <row r="66" spans="1:30" s="92" customFormat="1">
      <c r="A66" s="87" t="s">
        <v>3</v>
      </c>
      <c r="B66" s="88">
        <f>SUM(B64:B65)</f>
        <v>2196230</v>
      </c>
      <c r="C66" s="88"/>
      <c r="D66" s="88">
        <f>SUM(D64:D65)</f>
        <v>0</v>
      </c>
      <c r="E66" s="88">
        <f>SUM(E64:E65)</f>
        <v>0</v>
      </c>
      <c r="F66" s="88">
        <f>SUM(F64:F65)</f>
        <v>2196230</v>
      </c>
      <c r="G66" s="51"/>
      <c r="H66" s="51"/>
      <c r="I66" s="51"/>
      <c r="J66" s="51"/>
      <c r="K66" s="51"/>
      <c r="L66" s="51"/>
      <c r="M66" s="51"/>
      <c r="N66" s="51"/>
      <c r="O66" s="51"/>
    </row>
    <row r="67" spans="1:30">
      <c r="C67" s="74"/>
      <c r="O67" s="51"/>
    </row>
    <row r="68" spans="1:30" ht="13.5" thickBot="1">
      <c r="A68" s="100" t="s">
        <v>616</v>
      </c>
      <c r="B68" s="49">
        <f>B39-B54+B61+B66</f>
        <v>27292721</v>
      </c>
      <c r="C68" s="49"/>
      <c r="D68" s="49">
        <f>D39-D54+D61+D66</f>
        <v>67723</v>
      </c>
      <c r="E68" s="49">
        <f>E39-E54+E61+E66</f>
        <v>28631572</v>
      </c>
      <c r="F68" s="49">
        <f>F39-F54+F61+F66</f>
        <v>-1406574</v>
      </c>
      <c r="O68" s="51"/>
    </row>
    <row r="69" spans="1:30" ht="13.5" thickTop="1"/>
    <row r="70" spans="1:30">
      <c r="A70" s="51" t="s">
        <v>1109</v>
      </c>
      <c r="D70" s="143"/>
    </row>
    <row r="71" spans="1:30">
      <c r="A71" s="74" t="s">
        <v>51</v>
      </c>
    </row>
    <row r="72" spans="1:30">
      <c r="B72" s="659">
        <f>'TTUHSCEP FGD'!$M$91</f>
        <v>27292721</v>
      </c>
      <c r="C72" s="74"/>
      <c r="D72" s="659">
        <f>'TTUHSCEP FGD'!F91</f>
        <v>67723</v>
      </c>
      <c r="E72" s="659">
        <f>'TTUHSCEP FGD'!M50</f>
        <v>51823292</v>
      </c>
      <c r="F72" s="74"/>
    </row>
    <row r="73" spans="1:30">
      <c r="B73" s="659"/>
      <c r="C73" s="74"/>
      <c r="D73" s="659">
        <f>'TTUHSCEP FGD'!F74</f>
        <v>216044</v>
      </c>
      <c r="E73" s="659">
        <f>'TTUHSCEP FGD'!M53</f>
        <v>0</v>
      </c>
      <c r="F73" s="659"/>
    </row>
    <row r="74" spans="1:30">
      <c r="B74" s="676"/>
      <c r="C74" s="92"/>
      <c r="D74" s="676">
        <f>-'TTUHSCEP FGD'!M74</f>
        <v>-216044</v>
      </c>
      <c r="E74" s="659">
        <f>-'TTUHSCEP FGD'!M68</f>
        <v>-20371013</v>
      </c>
      <c r="F74" s="659"/>
    </row>
    <row r="75" spans="1:30">
      <c r="B75" s="676"/>
      <c r="C75" s="74"/>
      <c r="D75" s="676"/>
      <c r="E75" s="676">
        <f>-'TTUHSCEP FGD'!M67</f>
        <v>-2820707</v>
      </c>
      <c r="F75" s="659"/>
      <c r="G75" s="351"/>
      <c r="H75" s="351"/>
    </row>
    <row r="76" spans="1:30" ht="12.75" customHeight="1">
      <c r="B76" s="675"/>
      <c r="C76" s="74"/>
      <c r="D76" s="675"/>
      <c r="E76" s="675">
        <f>-D26</f>
        <v>0</v>
      </c>
      <c r="F76" s="659"/>
      <c r="G76" s="351"/>
      <c r="H76" s="351"/>
    </row>
    <row r="77" spans="1:30" ht="12.75" customHeight="1">
      <c r="B77" s="659">
        <f>SUM(B72:B76)</f>
        <v>27292721</v>
      </c>
      <c r="C77" s="74"/>
      <c r="D77" s="659">
        <f>SUM(D72:D76)</f>
        <v>67723</v>
      </c>
      <c r="E77" s="659">
        <f>SUM(E72:E76)</f>
        <v>28631572</v>
      </c>
      <c r="F77" s="659">
        <f>B77-D77-E77</f>
        <v>-1406574</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27292721</v>
      </c>
      <c r="C80" s="74"/>
      <c r="D80" s="659">
        <f>SUM(D77:D79)</f>
        <v>67723</v>
      </c>
      <c r="E80" s="659">
        <f>SUM(E77:E79)</f>
        <v>28631572</v>
      </c>
      <c r="F80" s="659">
        <f>SUM(F77:F79)</f>
        <v>-1406574</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G38:H38"/>
    <mergeCell ref="G39:H39"/>
    <mergeCell ref="K45:O45"/>
    <mergeCell ref="J55:J56"/>
    <mergeCell ref="G54:H56"/>
    <mergeCell ref="K36:O36"/>
    <mergeCell ref="K37:K40"/>
    <mergeCell ref="L37:L40"/>
    <mergeCell ref="M37:M40"/>
    <mergeCell ref="N37:N40"/>
    <mergeCell ref="O37:O40"/>
    <mergeCell ref="K35:O35"/>
    <mergeCell ref="F1:I1"/>
    <mergeCell ref="J1:O1"/>
    <mergeCell ref="D4:D5"/>
    <mergeCell ref="E4:E5"/>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42"/>
  <sheetViews>
    <sheetView showGridLines="0" workbookViewId="0">
      <selection activeCell="K1" sqref="K1"/>
    </sheetView>
  </sheetViews>
  <sheetFormatPr defaultRowHeight="12.75"/>
  <cols>
    <col min="2" max="2" width="7" customWidth="1"/>
    <col min="3" max="3" width="54.85546875" customWidth="1"/>
    <col min="4" max="4" width="15.140625" customWidth="1"/>
    <col min="5" max="5" width="22" customWidth="1"/>
    <col min="6" max="6" width="17.7109375" customWidth="1"/>
    <col min="7" max="7" width="12.140625" customWidth="1"/>
    <col min="8" max="8" width="17" customWidth="1"/>
    <col min="9" max="9" width="4.42578125" customWidth="1"/>
  </cols>
  <sheetData>
    <row r="1" spans="1:11" ht="13.5" thickBot="1">
      <c r="D1" s="371" t="s">
        <v>196</v>
      </c>
      <c r="K1" s="703" t="s">
        <v>1123</v>
      </c>
    </row>
    <row r="2" spans="1:11">
      <c r="D2" s="371" t="s">
        <v>1500</v>
      </c>
    </row>
    <row r="3" spans="1:11">
      <c r="D3" s="371" t="s">
        <v>1695</v>
      </c>
      <c r="F3" s="967"/>
    </row>
    <row r="4" spans="1:11" ht="14.25">
      <c r="D4" s="968"/>
      <c r="E4" s="968"/>
      <c r="F4" s="969"/>
      <c r="G4" s="308"/>
    </row>
    <row r="5" spans="1:11" ht="13.5" customHeight="1">
      <c r="A5" s="1197" t="s">
        <v>107</v>
      </c>
      <c r="B5" s="1097"/>
      <c r="C5" s="477"/>
      <c r="D5" s="1199" t="s">
        <v>1329</v>
      </c>
      <c r="E5" s="1200" t="s">
        <v>1330</v>
      </c>
      <c r="F5" s="1200" t="s">
        <v>1331</v>
      </c>
      <c r="G5" s="308"/>
    </row>
    <row r="6" spans="1:11">
      <c r="A6" s="1197"/>
      <c r="B6" s="1097"/>
      <c r="C6" s="477"/>
      <c r="D6" s="1199"/>
      <c r="E6" s="1200"/>
      <c r="F6" s="1200"/>
      <c r="G6" s="308"/>
    </row>
    <row r="7" spans="1:11">
      <c r="A7" s="1197"/>
      <c r="B7" s="1097"/>
      <c r="C7" s="477"/>
      <c r="D7" s="1199"/>
      <c r="E7" s="1200"/>
      <c r="F7" s="1200"/>
      <c r="G7" s="308"/>
    </row>
    <row r="8" spans="1:11">
      <c r="A8" s="1198"/>
      <c r="B8" s="1098"/>
      <c r="C8" s="970" t="s">
        <v>192</v>
      </c>
      <c r="D8" s="1199"/>
      <c r="E8" s="1200"/>
      <c r="F8" s="1200"/>
      <c r="G8" s="308"/>
    </row>
    <row r="9" spans="1:11">
      <c r="A9" s="857">
        <v>30</v>
      </c>
      <c r="B9" s="1118" t="s">
        <v>1203</v>
      </c>
      <c r="C9" s="534"/>
      <c r="D9" s="971">
        <f>'SWM FGD'!$O$68</f>
        <v>1210667716</v>
      </c>
      <c r="E9" s="972">
        <f>'SWM FGD'!$P$68</f>
        <v>6247</v>
      </c>
      <c r="F9" s="313">
        <f>E9+D9</f>
        <v>1210673963</v>
      </c>
      <c r="G9" s="320"/>
    </row>
    <row r="10" spans="1:11">
      <c r="A10" s="857">
        <v>104952</v>
      </c>
      <c r="B10" s="1118" t="s">
        <v>97</v>
      </c>
      <c r="C10" s="534"/>
      <c r="D10" s="181">
        <f>'MBG FGD'!$O$68</f>
        <v>1289997415</v>
      </c>
      <c r="E10" s="973">
        <f>'MBG FGD'!$P$68</f>
        <v>742578</v>
      </c>
      <c r="F10" s="320">
        <f t="shared" ref="F10:F20" si="0">E10+D10</f>
        <v>1290739993</v>
      </c>
      <c r="G10" s="320"/>
    </row>
    <row r="11" spans="1:11">
      <c r="A11" s="801">
        <v>11618</v>
      </c>
      <c r="B11" s="1119" t="s">
        <v>98</v>
      </c>
      <c r="C11" s="534"/>
      <c r="D11" s="181">
        <f>'HSH FGD'!$O$68</f>
        <v>430638402</v>
      </c>
      <c r="E11" s="973">
        <f>'HSH FGD'!$P$68</f>
        <v>5004879</v>
      </c>
      <c r="F11" s="320">
        <f t="shared" si="0"/>
        <v>435643281</v>
      </c>
      <c r="G11" s="320"/>
    </row>
    <row r="12" spans="1:11">
      <c r="A12" s="801">
        <v>40</v>
      </c>
      <c r="B12" s="1119" t="s">
        <v>99</v>
      </c>
      <c r="C12" s="534"/>
      <c r="D12" s="181">
        <f>'HSSA FGD'!$O$68</f>
        <v>131112226</v>
      </c>
      <c r="E12" s="973">
        <f>'HSSA FGD'!$P$68</f>
        <v>1700469</v>
      </c>
      <c r="F12" s="320">
        <f t="shared" si="0"/>
        <v>132812695</v>
      </c>
      <c r="G12" s="320"/>
    </row>
    <row r="13" spans="1:11">
      <c r="A13" s="801">
        <v>25554</v>
      </c>
      <c r="B13" s="1119" t="s">
        <v>100</v>
      </c>
      <c r="C13" s="534"/>
      <c r="D13" s="181">
        <f>'MDA FGD'!$O$68</f>
        <v>2723124887</v>
      </c>
      <c r="E13" s="973">
        <f>'MDA FGD'!$P$68</f>
        <v>40970293</v>
      </c>
      <c r="F13" s="320">
        <f t="shared" si="0"/>
        <v>2764095180</v>
      </c>
      <c r="G13" s="320"/>
    </row>
    <row r="14" spans="1:11">
      <c r="A14" s="801">
        <v>42439</v>
      </c>
      <c r="B14" s="1119" t="s">
        <v>1297</v>
      </c>
      <c r="C14" s="534"/>
      <c r="D14" s="181">
        <f>'THC FGD'!$O$68</f>
        <v>146832357</v>
      </c>
      <c r="E14" s="973">
        <f>'THC FGD'!$P$68</f>
        <v>216155</v>
      </c>
      <c r="F14" s="320">
        <f t="shared" si="0"/>
        <v>147048512</v>
      </c>
      <c r="G14" s="320"/>
    </row>
    <row r="15" spans="1:11">
      <c r="A15" s="801">
        <v>89</v>
      </c>
      <c r="B15" s="1119" t="s">
        <v>102</v>
      </c>
      <c r="C15" s="534"/>
      <c r="D15" s="181">
        <f>'TAMHSC FGD'!$O$68</f>
        <v>0</v>
      </c>
      <c r="E15" s="973">
        <f>'TAMHSC FGD'!$P$68</f>
        <v>0</v>
      </c>
      <c r="F15" s="320">
        <f t="shared" si="0"/>
        <v>0</v>
      </c>
      <c r="G15" s="320"/>
    </row>
    <row r="16" spans="1:11">
      <c r="A16" s="801">
        <v>130</v>
      </c>
      <c r="B16" s="1119" t="s">
        <v>104</v>
      </c>
      <c r="C16" s="534"/>
      <c r="D16" s="181">
        <f>'UNTHSC FGD'!$O$68</f>
        <v>0</v>
      </c>
      <c r="E16" s="973">
        <f>'UNTHSC FGD'!$P$68</f>
        <v>0</v>
      </c>
      <c r="F16" s="320">
        <f t="shared" si="0"/>
        <v>0</v>
      </c>
      <c r="G16" s="320"/>
    </row>
    <row r="17" spans="1:7">
      <c r="A17" s="801">
        <v>412</v>
      </c>
      <c r="B17" s="1119" t="s">
        <v>106</v>
      </c>
      <c r="C17" s="534"/>
      <c r="D17" s="181">
        <f>'TTUHSC FGD'!$O$68</f>
        <v>78308297</v>
      </c>
      <c r="E17" s="973">
        <f>'TTUHSC FGD'!$P$68</f>
        <v>96208</v>
      </c>
      <c r="F17" s="320">
        <f t="shared" si="0"/>
        <v>78404505</v>
      </c>
      <c r="G17" s="320"/>
    </row>
    <row r="18" spans="1:7">
      <c r="A18" s="801">
        <v>862</v>
      </c>
      <c r="B18" s="1119" t="s">
        <v>1230</v>
      </c>
      <c r="C18" s="534"/>
      <c r="D18" s="181">
        <f>'TTUHSCEP FGD'!$O$68</f>
        <v>20371013</v>
      </c>
      <c r="E18" s="973">
        <f>'TTUHSCEP FGD'!$P$68</f>
        <v>0</v>
      </c>
      <c r="F18" s="320">
        <f t="shared" si="0"/>
        <v>20371013</v>
      </c>
      <c r="G18" s="320"/>
    </row>
    <row r="19" spans="1:7">
      <c r="A19" s="801">
        <v>203599</v>
      </c>
      <c r="B19" s="1119" t="s">
        <v>1316</v>
      </c>
      <c r="C19" s="534"/>
      <c r="D19" s="181">
        <f>'RGVM FGD'!$O$68</f>
        <v>26329257</v>
      </c>
      <c r="E19" s="973">
        <f>'RGVM FGD'!$P$68</f>
        <v>35165</v>
      </c>
      <c r="F19" s="320">
        <f>E19+D19</f>
        <v>26364422</v>
      </c>
      <c r="G19" s="320"/>
    </row>
    <row r="20" spans="1:7">
      <c r="A20" s="801">
        <v>203658</v>
      </c>
      <c r="B20" s="1119" t="s">
        <v>1315</v>
      </c>
      <c r="C20" s="534"/>
      <c r="D20" s="181">
        <f>'AUSM FGD'!$O$68</f>
        <v>18740043</v>
      </c>
      <c r="E20" s="973">
        <f>'AUSM FGD'!$P$68</f>
        <v>42032</v>
      </c>
      <c r="F20" s="320">
        <f t="shared" si="0"/>
        <v>18782075</v>
      </c>
      <c r="G20" s="320"/>
    </row>
    <row r="21" spans="1:7">
      <c r="A21" s="974"/>
      <c r="B21" s="974"/>
      <c r="C21" s="975"/>
      <c r="D21" s="181"/>
      <c r="E21" s="973"/>
      <c r="F21" s="320"/>
      <c r="G21" s="320"/>
    </row>
    <row r="22" spans="1:7" ht="13.5" thickBot="1">
      <c r="C22" s="390" t="s">
        <v>1088</v>
      </c>
      <c r="D22" s="976">
        <f>SUM(D9:D21)</f>
        <v>6076121613</v>
      </c>
      <c r="E22" s="976">
        <f>SUM(E9:E21)</f>
        <v>48814026</v>
      </c>
      <c r="F22" s="976">
        <f>SUM(F9:F21)</f>
        <v>6124935639</v>
      </c>
      <c r="G22" s="320"/>
    </row>
    <row r="23" spans="1:7" ht="13.5" thickTop="1"/>
    <row r="25" spans="1:7">
      <c r="A25" s="801"/>
      <c r="B25" s="801"/>
      <c r="C25" s="113"/>
    </row>
    <row r="26" spans="1:7">
      <c r="A26" s="801"/>
      <c r="B26" s="801"/>
      <c r="C26" s="113"/>
    </row>
    <row r="27" spans="1:7">
      <c r="A27" s="801"/>
      <c r="B27" s="801"/>
      <c r="C27" s="113"/>
    </row>
    <row r="28" spans="1:7">
      <c r="A28" s="801"/>
      <c r="B28" s="801"/>
      <c r="C28" s="113"/>
    </row>
    <row r="29" spans="1:7">
      <c r="A29" s="801"/>
      <c r="B29" s="801"/>
      <c r="C29" s="206"/>
    </row>
    <row r="30" spans="1:7">
      <c r="A30" s="801"/>
      <c r="B30" s="801"/>
      <c r="C30" s="206"/>
    </row>
    <row r="31" spans="1:7">
      <c r="A31" s="801"/>
      <c r="B31" s="801"/>
      <c r="C31" s="206"/>
      <c r="F31" s="50"/>
    </row>
    <row r="32" spans="1:7">
      <c r="A32" s="801"/>
      <c r="B32" s="801"/>
      <c r="C32" s="206"/>
      <c r="F32" s="50"/>
    </row>
    <row r="33" spans="3:8">
      <c r="H33" s="362"/>
    </row>
    <row r="34" spans="3:8">
      <c r="C34" s="25" t="s">
        <v>1332</v>
      </c>
    </row>
    <row r="35" spans="3:8">
      <c r="C35" s="491"/>
    </row>
    <row r="36" spans="3:8">
      <c r="C36" s="977" t="s">
        <v>1333</v>
      </c>
    </row>
    <row r="37" spans="3:8">
      <c r="C37" s="978" t="s">
        <v>1334</v>
      </c>
    </row>
    <row r="38" spans="3:8">
      <c r="C38" s="979" t="s">
        <v>1335</v>
      </c>
    </row>
    <row r="39" spans="3:8">
      <c r="C39" s="979" t="s">
        <v>1336</v>
      </c>
    </row>
    <row r="40" spans="3:8">
      <c r="C40" s="638" t="s">
        <v>1337</v>
      </c>
    </row>
    <row r="41" spans="3:8">
      <c r="C41" s="491"/>
    </row>
    <row r="42" spans="3:8">
      <c r="C42" s="25" t="s">
        <v>1338</v>
      </c>
    </row>
  </sheetData>
  <dataConsolidate link="1">
    <dataRefs count="9">
      <dataRef ref="N49:V62" sheet="HSH FGD" r:id="rId1"/>
      <dataRef ref="N49:V62" sheet="HSSA FGD" r:id="rId2"/>
      <dataRef ref="N49:V62" sheet="MBG FGD" r:id="rId3"/>
      <dataRef ref="N49:V62" sheet="MDA FGD" r:id="rId4"/>
      <dataRef ref="N49:V62" sheet="SWM FGD" r:id="rId5"/>
      <dataRef ref="N49:V62" sheet="TAMHSC FGD" r:id="rId6"/>
      <dataRef ref="N49:V62" sheet="THC FGD" r:id="rId7"/>
      <dataRef ref="N49:V62" sheet="TTUHSC FGD" r:id="rId8"/>
      <dataRef ref="N49:V62" sheet="UNTHSC FGD" r:id="rId9"/>
    </dataRefs>
  </dataConsolidate>
  <mergeCells count="4">
    <mergeCell ref="A5:A8"/>
    <mergeCell ref="D5:D8"/>
    <mergeCell ref="E5:E8"/>
    <mergeCell ref="F5:F8"/>
  </mergeCells>
  <hyperlinks>
    <hyperlink ref="K1" location="Index!A1" display="Return to Index"/>
    <hyperlink ref="C40" r:id="rId10" display="mailto:joyce.jauer@cpa.texas.gov"/>
  </hyperlinks>
  <pageMargins left="0.7" right="0.7" top="0.75" bottom="0.75" header="0.3" footer="0.3"/>
  <pageSetup orientation="portrait" r:id="rId1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4"/>
  <sheetViews>
    <sheetView showGridLines="0" zoomScale="75" zoomScaleNormal="75" workbookViewId="0">
      <pane xSplit="2" ySplit="8" topLeftCell="K46" activePane="bottomRight" state="frozen"/>
      <selection activeCell="C36" sqref="C36"/>
      <selection pane="topRight" activeCell="C36" sqref="C36"/>
      <selection pane="bottomLeft" activeCell="C36" sqref="C36"/>
      <selection pane="bottomRight" activeCell="S76" sqref="S76"/>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'TTUHSCEP Chts'!$A$1</f>
        <v>Texas Tech University Health Sciences Center at El Paso</v>
      </c>
      <c r="C2" s="1273"/>
      <c r="D2" s="1273"/>
      <c r="E2" s="1273"/>
      <c r="F2" s="1273"/>
      <c r="H2" s="174"/>
      <c r="I2" s="149" t="str">
        <f>IF($B$2&lt;&gt;Input!$H$15,"Name Mismatch","")</f>
        <v/>
      </c>
      <c r="J2" s="182"/>
      <c r="K2" s="182"/>
      <c r="L2" s="182"/>
      <c r="M2" s="175"/>
      <c r="O2" s="737" t="s">
        <v>1123</v>
      </c>
      <c r="P2" s="294"/>
    </row>
    <row r="3" spans="1:28" ht="20.25">
      <c r="A3" s="173">
        <v>2</v>
      </c>
      <c r="B3" s="1273" t="str">
        <f>'Smmy Chts'!$A$2</f>
        <v>For the Year Ended August 31, 2018</v>
      </c>
      <c r="C3" s="1273"/>
      <c r="D3" s="1273"/>
      <c r="E3" s="1273"/>
      <c r="F3" s="1273"/>
      <c r="G3" s="174"/>
      <c r="H3" s="174"/>
      <c r="I3" s="182"/>
      <c r="J3" s="182"/>
      <c r="K3" s="182"/>
      <c r="L3" s="182"/>
      <c r="M3" s="175"/>
      <c r="O3" s="73"/>
    </row>
    <row r="4" spans="1:28" ht="20.25">
      <c r="A4" s="173">
        <v>3</v>
      </c>
      <c r="B4" s="1273" t="str">
        <f>'Smmy Chts'!$A$3</f>
        <v>Source: FY 2018 Annual Financial Report</v>
      </c>
      <c r="C4" s="1273"/>
      <c r="D4" s="1273"/>
      <c r="E4" s="1273"/>
      <c r="F4" s="1273"/>
      <c r="G4" s="174"/>
      <c r="H4" s="174"/>
      <c r="I4" s="182"/>
      <c r="J4" s="182"/>
      <c r="K4" s="182"/>
      <c r="L4" s="182"/>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Input!$M$15</f>
        <v>75659465</v>
      </c>
      <c r="E10" s="355">
        <f>Input!$N$15</f>
        <v>0</v>
      </c>
      <c r="F10" s="355">
        <f>Input!$O$15</f>
        <v>0</v>
      </c>
      <c r="G10" s="355">
        <f>Input!$P$15</f>
        <v>0</v>
      </c>
      <c r="H10" s="355">
        <f>Input!$Q$15</f>
        <v>0</v>
      </c>
      <c r="I10" s="355">
        <f>Input!$R$15</f>
        <v>0</v>
      </c>
      <c r="J10" s="355">
        <f>Input!$S$15</f>
        <v>0</v>
      </c>
      <c r="K10" s="355">
        <f>Input!$T$15</f>
        <v>0</v>
      </c>
      <c r="L10" s="355">
        <f>Input!$U$15</f>
        <v>0</v>
      </c>
      <c r="M10" s="357">
        <f t="shared" ref="M10:M15" si="0">D10+E10+F10+G10+H10+I10+J10+K10+L10</f>
        <v>75659465</v>
      </c>
      <c r="O10" s="184"/>
      <c r="P10" s="1308" t="s">
        <v>595</v>
      </c>
      <c r="Q10" s="50"/>
      <c r="R10" s="50"/>
      <c r="S10" s="50"/>
      <c r="T10" s="183"/>
      <c r="U10" s="183"/>
      <c r="V10" s="50"/>
      <c r="W10" s="50"/>
      <c r="X10" s="50"/>
      <c r="Y10" s="50"/>
      <c r="Z10" s="50"/>
      <c r="AA10" s="50"/>
      <c r="AB10" s="50"/>
    </row>
    <row r="11" spans="1:28" s="149" customFormat="1">
      <c r="A11" s="147">
        <v>10</v>
      </c>
      <c r="B11" s="149" t="s">
        <v>2</v>
      </c>
      <c r="D11" s="355">
        <f>Input!$V$15</f>
        <v>1795322</v>
      </c>
      <c r="E11" s="355">
        <f>Input!$W$15</f>
        <v>302120</v>
      </c>
      <c r="F11" s="355">
        <f>Input!$X$15</f>
        <v>0</v>
      </c>
      <c r="G11" s="355">
        <f>Input!$Y$15</f>
        <v>4017392</v>
      </c>
      <c r="H11" s="355">
        <f>Input!$Z$15</f>
        <v>0</v>
      </c>
      <c r="I11" s="355">
        <f>Input!$AA$15</f>
        <v>0</v>
      </c>
      <c r="J11" s="355">
        <f>Input!$AB$15</f>
        <v>0</v>
      </c>
      <c r="K11" s="355">
        <f>Input!$AC$15</f>
        <v>0</v>
      </c>
      <c r="L11" s="355">
        <f>Input!$AD$15</f>
        <v>0</v>
      </c>
      <c r="M11" s="357">
        <f t="shared" si="0"/>
        <v>6114834</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Input!$AN$15</f>
        <v>6234075</v>
      </c>
      <c r="E13" s="355">
        <f>Input!$AO$15</f>
        <v>0</v>
      </c>
      <c r="F13" s="355">
        <f>Input!$AP$15</f>
        <v>0</v>
      </c>
      <c r="G13" s="355">
        <f>Input!$AQ$15</f>
        <v>0</v>
      </c>
      <c r="H13" s="355">
        <f>Input!$AR$15</f>
        <v>0</v>
      </c>
      <c r="I13" s="355">
        <f>Input!$AS$15</f>
        <v>0</v>
      </c>
      <c r="J13" s="355">
        <f>Input!$AT$15</f>
        <v>0</v>
      </c>
      <c r="K13" s="355">
        <f>Input!$AU$15</f>
        <v>0</v>
      </c>
      <c r="L13" s="355">
        <f>Input!$AV$15</f>
        <v>0</v>
      </c>
      <c r="M13" s="357">
        <f t="shared" si="0"/>
        <v>6234075</v>
      </c>
      <c r="O13" s="455" t="str">
        <f>IF(P13&lt;&gt;M13,"Out of Balance","Balanced")</f>
        <v>Balanced</v>
      </c>
      <c r="P13" s="457">
        <f>IFERROR(VLOOKUP($B$2,AMTLU,6,FALSE),0)</f>
        <v>6234075</v>
      </c>
      <c r="Q13" s="50"/>
      <c r="R13" s="50"/>
      <c r="S13" s="50"/>
      <c r="T13" s="183"/>
      <c r="U13" s="183"/>
      <c r="V13" s="50"/>
      <c r="W13" s="50"/>
      <c r="X13" s="50"/>
      <c r="Y13" s="50"/>
      <c r="Z13" s="50"/>
      <c r="AA13" s="50"/>
      <c r="AB13" s="50"/>
    </row>
    <row r="14" spans="1:28" s="149" customFormat="1" ht="15">
      <c r="A14" s="147">
        <v>13</v>
      </c>
      <c r="B14" s="149" t="s">
        <v>46</v>
      </c>
      <c r="D14" s="355">
        <f>Input!$AW$15</f>
        <v>0</v>
      </c>
      <c r="E14" s="355">
        <f>Input!$AX$15</f>
        <v>0</v>
      </c>
      <c r="F14" s="355">
        <f>Input!$AY$15</f>
        <v>0</v>
      </c>
      <c r="G14" s="355">
        <f>Input!$AZ$15</f>
        <v>0</v>
      </c>
      <c r="H14" s="355">
        <f>Input!$BA$15</f>
        <v>0</v>
      </c>
      <c r="I14" s="355">
        <f>Input!$BB$15</f>
        <v>0</v>
      </c>
      <c r="J14" s="355">
        <f>Input!$BC$15</f>
        <v>0</v>
      </c>
      <c r="K14" s="355">
        <f>Input!$BD$15</f>
        <v>0</v>
      </c>
      <c r="L14" s="355">
        <f>Input!$BE$15</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83688862</v>
      </c>
      <c r="E15" s="356">
        <f t="shared" ref="E15:L15" si="1">SUM(E10:E14)</f>
        <v>302120</v>
      </c>
      <c r="F15" s="356">
        <f t="shared" si="1"/>
        <v>0</v>
      </c>
      <c r="G15" s="356">
        <f t="shared" si="1"/>
        <v>4017392</v>
      </c>
      <c r="H15" s="356">
        <f t="shared" si="1"/>
        <v>0</v>
      </c>
      <c r="I15" s="356">
        <f t="shared" si="1"/>
        <v>0</v>
      </c>
      <c r="J15" s="356">
        <f t="shared" si="1"/>
        <v>0</v>
      </c>
      <c r="K15" s="356">
        <f t="shared" si="1"/>
        <v>0</v>
      </c>
      <c r="L15" s="356">
        <f t="shared" si="1"/>
        <v>0</v>
      </c>
      <c r="M15" s="356">
        <f t="shared" si="0"/>
        <v>88008374</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3398598</v>
      </c>
      <c r="E18" s="356">
        <f t="shared" si="2"/>
        <v>5051171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8449769</v>
      </c>
      <c r="V18" s="342"/>
      <c r="X18" s="326"/>
    </row>
    <row r="19" spans="1:26" s="50" customFormat="1" ht="12.75" customHeight="1" thickTop="1" thickBot="1">
      <c r="A19" s="293"/>
      <c r="B19" s="51" t="s">
        <v>638</v>
      </c>
      <c r="C19" s="51"/>
      <c r="D19" s="355">
        <f>Input!$BF$15</f>
        <v>-251045</v>
      </c>
      <c r="E19" s="355">
        <f>Input!$BG$15</f>
        <v>0</v>
      </c>
      <c r="F19" s="355">
        <f>Input!$BH$15</f>
        <v>0</v>
      </c>
      <c r="G19" s="355">
        <f>Input!$BI$15</f>
        <v>0</v>
      </c>
      <c r="H19" s="355">
        <f>Input!$BJ$15</f>
        <v>0</v>
      </c>
      <c r="I19" s="355">
        <f>Input!BK6</f>
        <v>0</v>
      </c>
      <c r="J19" s="355">
        <f>Input!$BL$15</f>
        <v>0</v>
      </c>
      <c r="K19" s="355">
        <f>Input!BM6</f>
        <v>0</v>
      </c>
      <c r="L19" s="355">
        <f>Input!BN6</f>
        <v>0</v>
      </c>
      <c r="M19" s="357">
        <f t="shared" si="3"/>
        <v>-251045</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Input!$BO$15</f>
        <v>0</v>
      </c>
      <c r="E20" s="355">
        <f>Input!$BP$15</f>
        <v>0</v>
      </c>
      <c r="F20" s="355">
        <f>Input!$BQ$15</f>
        <v>0</v>
      </c>
      <c r="G20" s="355">
        <f>Input!$BR$15</f>
        <v>0</v>
      </c>
      <c r="H20" s="355">
        <f>Input!$BS$15</f>
        <v>0</v>
      </c>
      <c r="I20" s="355">
        <f>Input!$BT$15</f>
        <v>0</v>
      </c>
      <c r="J20" s="355">
        <f>Input!BU6</f>
        <v>0</v>
      </c>
      <c r="K20" s="355">
        <f>Input!BV6</f>
        <v>0</v>
      </c>
      <c r="L20" s="355">
        <f>Input!$BW$15</f>
        <v>0</v>
      </c>
      <c r="M20" s="357">
        <f t="shared" si="3"/>
        <v>0</v>
      </c>
      <c r="O20" s="414" t="s">
        <v>215</v>
      </c>
      <c r="P20" s="415"/>
      <c r="Q20" s="416"/>
      <c r="R20" s="416"/>
      <c r="S20" s="537"/>
      <c r="U20" s="538" t="s">
        <v>997</v>
      </c>
      <c r="V20" s="296"/>
      <c r="W20" s="296"/>
      <c r="Y20" s="420"/>
    </row>
    <row r="21" spans="1:26" s="50" customFormat="1">
      <c r="A21" s="293"/>
      <c r="B21" s="51" t="s">
        <v>640</v>
      </c>
      <c r="C21" s="51"/>
      <c r="D21" s="355">
        <f>Input!$BX$15</f>
        <v>0</v>
      </c>
      <c r="E21" s="355">
        <f>Input!$BY$15</f>
        <v>0</v>
      </c>
      <c r="F21" s="355">
        <f>Input!$BZ$15</f>
        <v>0</v>
      </c>
      <c r="G21" s="355">
        <f>Input!$CA$15</f>
        <v>0</v>
      </c>
      <c r="H21" s="355">
        <f>Input!$CB$15</f>
        <v>0</v>
      </c>
      <c r="I21" s="355">
        <f>Input!$CC$15</f>
        <v>0</v>
      </c>
      <c r="J21" s="355">
        <f>Input!$CD$15</f>
        <v>0</v>
      </c>
      <c r="K21" s="355">
        <f>Input!$CE$15</f>
        <v>0</v>
      </c>
      <c r="L21" s="355">
        <f>Input!$CF$15</f>
        <v>0</v>
      </c>
      <c r="M21" s="357">
        <f t="shared" si="3"/>
        <v>0</v>
      </c>
      <c r="O21" s="430"/>
      <c r="R21" s="347"/>
      <c r="S21" s="539"/>
      <c r="U21" s="621" t="s">
        <v>998</v>
      </c>
      <c r="V21" s="296"/>
      <c r="W21" s="296"/>
      <c r="X21" s="622">
        <f>M44</f>
        <v>8991570</v>
      </c>
      <c r="Y21" s="420"/>
      <c r="Z21" s="326"/>
    </row>
    <row r="22" spans="1:26" s="50" customFormat="1">
      <c r="A22" s="293"/>
      <c r="B22" s="51" t="s">
        <v>641</v>
      </c>
      <c r="C22" s="51"/>
      <c r="D22" s="355">
        <f>Input!$CG$15</f>
        <v>0</v>
      </c>
      <c r="E22" s="355">
        <f>Input!$CH$15</f>
        <v>0</v>
      </c>
      <c r="F22" s="355">
        <f>Input!$CI$15</f>
        <v>0</v>
      </c>
      <c r="G22" s="355">
        <f>Input!$CJ$15</f>
        <v>0</v>
      </c>
      <c r="H22" s="355">
        <f>Input!$CK$15</f>
        <v>0</v>
      </c>
      <c r="I22" s="355">
        <f>Input!$CL$15</f>
        <v>0</v>
      </c>
      <c r="J22" s="355">
        <f>Input!$CM$15</f>
        <v>0</v>
      </c>
      <c r="K22" s="355">
        <f>Input!$CN$15</f>
        <v>0</v>
      </c>
      <c r="L22" s="355">
        <f>Input!$CO$15</f>
        <v>0</v>
      </c>
      <c r="M22" s="357">
        <f t="shared" si="3"/>
        <v>0</v>
      </c>
      <c r="N22" s="299"/>
      <c r="O22" s="430" t="s">
        <v>999</v>
      </c>
      <c r="P22" s="305"/>
      <c r="Q22" s="419">
        <f>M23</f>
        <v>8198724</v>
      </c>
      <c r="S22" s="540"/>
      <c r="U22" s="621" t="s">
        <v>1000</v>
      </c>
      <c r="V22" s="296"/>
      <c r="W22" s="296"/>
      <c r="X22" s="623">
        <f>R30*-1</f>
        <v>1818785</v>
      </c>
      <c r="Y22" s="420"/>
    </row>
    <row r="23" spans="1:26" s="50" customFormat="1" ht="12.75" customHeight="1">
      <c r="A23" s="293"/>
      <c r="B23" s="536" t="s">
        <v>642</v>
      </c>
      <c r="C23" s="179"/>
      <c r="D23" s="541">
        <f>Input!$CP$15</f>
        <v>3147553</v>
      </c>
      <c r="E23" s="541">
        <f>Input!$CQ$15</f>
        <v>5051171</v>
      </c>
      <c r="F23" s="541">
        <f>Input!$CR$15</f>
        <v>0</v>
      </c>
      <c r="G23" s="541">
        <f>Input!$CS$15</f>
        <v>0</v>
      </c>
      <c r="H23" s="541">
        <f>Input!$CT$15</f>
        <v>0</v>
      </c>
      <c r="I23" s="541">
        <f>Input!$CU$15</f>
        <v>0</v>
      </c>
      <c r="J23" s="541">
        <f>Input!$CV$15</f>
        <v>0</v>
      </c>
      <c r="K23" s="541">
        <f>Input!$CW$15</f>
        <v>0</v>
      </c>
      <c r="L23" s="541">
        <f>Input!$CX$15</f>
        <v>0</v>
      </c>
      <c r="M23" s="542">
        <f t="shared" si="3"/>
        <v>8198724</v>
      </c>
      <c r="O23" s="430"/>
      <c r="P23" s="305"/>
      <c r="Q23" s="419"/>
      <c r="S23" s="540"/>
      <c r="U23" s="538" t="s">
        <v>1185</v>
      </c>
      <c r="V23" s="296"/>
      <c r="W23" s="296"/>
      <c r="X23" s="305"/>
      <c r="Y23" s="420">
        <f>SUM(X21:X22)</f>
        <v>10810355</v>
      </c>
      <c r="Z23" s="326"/>
    </row>
    <row r="24" spans="1:26" s="50" customFormat="1" ht="12.75" customHeight="1">
      <c r="A24" s="293"/>
      <c r="B24" s="51" t="s">
        <v>643</v>
      </c>
      <c r="C24" s="180"/>
      <c r="D24" s="355">
        <f>Input!$CY$15</f>
        <v>0</v>
      </c>
      <c r="E24" s="355">
        <f>Input!$CZ$15</f>
        <v>0</v>
      </c>
      <c r="F24" s="355">
        <f>Input!$DA$15</f>
        <v>0</v>
      </c>
      <c r="G24" s="355">
        <f>Input!$DB$15</f>
        <v>0</v>
      </c>
      <c r="H24" s="355">
        <f>Input!$DC$15</f>
        <v>0</v>
      </c>
      <c r="I24" s="355">
        <f>Input!$DD$15</f>
        <v>0</v>
      </c>
      <c r="J24" s="355">
        <f>Input!$DE$15</f>
        <v>0</v>
      </c>
      <c r="K24" s="355">
        <f>Input!$DF$15</f>
        <v>0</v>
      </c>
      <c r="L24" s="355">
        <f>Input!$DG$15</f>
        <v>0</v>
      </c>
      <c r="M24" s="543">
        <f t="shared" si="3"/>
        <v>0</v>
      </c>
      <c r="O24" s="418" t="s">
        <v>1001</v>
      </c>
      <c r="P24" s="305"/>
      <c r="Q24" s="342"/>
      <c r="R24" s="342">
        <f>SUM(M24:M28)</f>
        <v>-1624808</v>
      </c>
      <c r="S24" s="540"/>
      <c r="U24" s="538"/>
      <c r="V24" s="296"/>
      <c r="W24" s="296"/>
      <c r="Y24" s="420"/>
      <c r="Z24" s="326"/>
    </row>
    <row r="25" spans="1:26" s="50" customFormat="1" ht="12.75" customHeight="1">
      <c r="A25" s="293"/>
      <c r="B25" s="51" t="s">
        <v>644</v>
      </c>
      <c r="C25" s="180"/>
      <c r="D25" s="355">
        <f>Input!$DH$15</f>
        <v>0</v>
      </c>
      <c r="E25" s="355">
        <f>Input!$DI$15</f>
        <v>0</v>
      </c>
      <c r="F25" s="355">
        <f>Input!$DJ$15</f>
        <v>0</v>
      </c>
      <c r="G25" s="355">
        <f>Input!$DK$15</f>
        <v>0</v>
      </c>
      <c r="H25" s="355">
        <f>Input!$DL$15</f>
        <v>0</v>
      </c>
      <c r="I25" s="355">
        <f>Input!$DM$15</f>
        <v>0</v>
      </c>
      <c r="J25" s="355">
        <f>Input!$DN$15</f>
        <v>0</v>
      </c>
      <c r="K25" s="355">
        <f>Input!$DO$15</f>
        <v>0</v>
      </c>
      <c r="L25" s="355">
        <f>Input!$DP$15</f>
        <v>0</v>
      </c>
      <c r="M25" s="543">
        <f t="shared" si="3"/>
        <v>0</v>
      </c>
      <c r="O25" s="430"/>
      <c r="P25" s="305"/>
      <c r="Q25" s="342"/>
      <c r="R25" s="342"/>
      <c r="S25" s="540"/>
      <c r="U25" s="544" t="s">
        <v>1045</v>
      </c>
      <c r="V25" s="545"/>
      <c r="W25" s="545"/>
      <c r="X25" s="624">
        <f>(M26+M39)*-1</f>
        <v>381865</v>
      </c>
      <c r="Y25" s="420"/>
      <c r="Z25" s="326"/>
    </row>
    <row r="26" spans="1:26" s="50" customFormat="1" ht="12.75" customHeight="1">
      <c r="A26" s="293"/>
      <c r="B26" s="51" t="s">
        <v>645</v>
      </c>
      <c r="C26" s="180"/>
      <c r="D26" s="355">
        <f>Input!$DQ$15</f>
        <v>-67400</v>
      </c>
      <c r="E26" s="355">
        <f>Input!$DR$15</f>
        <v>-120488</v>
      </c>
      <c r="F26" s="355">
        <f>Input!$DS$15</f>
        <v>0</v>
      </c>
      <c r="G26" s="355">
        <f>Input!$DT$15</f>
        <v>0</v>
      </c>
      <c r="H26" s="355">
        <f>Input!$DU$15</f>
        <v>0</v>
      </c>
      <c r="I26" s="355">
        <f>Input!$DV$15</f>
        <v>0</v>
      </c>
      <c r="J26" s="355">
        <f>Input!$DW$15</f>
        <v>0</v>
      </c>
      <c r="K26" s="355">
        <f>Input!$DX$15</f>
        <v>0</v>
      </c>
      <c r="L26" s="355">
        <f>Input!$DY$15</f>
        <v>0</v>
      </c>
      <c r="M26" s="543">
        <f t="shared" si="3"/>
        <v>-187888</v>
      </c>
      <c r="O26" s="430" t="s">
        <v>1002</v>
      </c>
      <c r="P26" s="305"/>
      <c r="Q26" s="422">
        <f>M36</f>
        <v>2611631</v>
      </c>
      <c r="R26" s="423"/>
      <c r="S26" s="546"/>
      <c r="U26" s="538" t="s">
        <v>1046</v>
      </c>
      <c r="V26" s="296"/>
      <c r="W26" s="296"/>
      <c r="X26" s="547">
        <f>(M21+M34)*-1</f>
        <v>0</v>
      </c>
      <c r="Y26" s="420"/>
      <c r="Z26" s="326"/>
    </row>
    <row r="27" spans="1:26" s="50" customFormat="1">
      <c r="A27" s="293"/>
      <c r="B27" s="51" t="s">
        <v>646</v>
      </c>
      <c r="C27" s="180"/>
      <c r="D27" s="355">
        <f>Input!$DZ$15</f>
        <v>0</v>
      </c>
      <c r="E27" s="355">
        <f>Input!$EA$15</f>
        <v>0</v>
      </c>
      <c r="F27" s="355">
        <f>Input!$EB$15</f>
        <v>0</v>
      </c>
      <c r="G27" s="355">
        <f>Input!$EC$15</f>
        <v>0</v>
      </c>
      <c r="H27" s="355">
        <f>Input!$ED$15</f>
        <v>0</v>
      </c>
      <c r="I27" s="355">
        <f>Input!$EE$15</f>
        <v>0</v>
      </c>
      <c r="J27" s="355">
        <f>Input!$EF$15</f>
        <v>0</v>
      </c>
      <c r="K27" s="355">
        <f>Input!$EG$15</f>
        <v>0</v>
      </c>
      <c r="L27" s="355">
        <f>Input!$EH$15</f>
        <v>0</v>
      </c>
      <c r="M27" s="543">
        <f t="shared" si="3"/>
        <v>0</v>
      </c>
      <c r="O27" s="430"/>
      <c r="P27" s="305"/>
      <c r="Q27" s="422"/>
      <c r="R27" s="423"/>
      <c r="S27" s="546"/>
      <c r="U27" s="621" t="s">
        <v>1047</v>
      </c>
      <c r="V27" s="221"/>
      <c r="W27" s="221"/>
      <c r="X27" s="625">
        <f>SUM(X25:X26)</f>
        <v>381865</v>
      </c>
      <c r="Y27" s="626"/>
    </row>
    <row r="28" spans="1:26" s="50" customFormat="1">
      <c r="A28" s="293"/>
      <c r="B28" s="51" t="s">
        <v>1361</v>
      </c>
      <c r="C28" s="180"/>
      <c r="D28" s="355">
        <f>Input!$EI$15</f>
        <v>-406505</v>
      </c>
      <c r="E28" s="355">
        <f>Input!$EJ$15</f>
        <v>-1030415</v>
      </c>
      <c r="F28" s="355">
        <f>Input!$EK$15</f>
        <v>0</v>
      </c>
      <c r="G28" s="355">
        <f>Input!$EL$15</f>
        <v>0</v>
      </c>
      <c r="H28" s="355">
        <f>Input!$EM$15</f>
        <v>0</v>
      </c>
      <c r="I28" s="355">
        <f>Input!$EN$15</f>
        <v>0</v>
      </c>
      <c r="J28" s="355">
        <f>Input!$EO$15</f>
        <v>0</v>
      </c>
      <c r="K28" s="355">
        <f>Input!$EP$15</f>
        <v>0</v>
      </c>
      <c r="L28" s="355">
        <f>Input!$EQ$15</f>
        <v>0</v>
      </c>
      <c r="M28" s="543">
        <f t="shared" si="3"/>
        <v>-1436920</v>
      </c>
      <c r="O28" s="418" t="s">
        <v>1003</v>
      </c>
      <c r="Q28" s="425"/>
      <c r="R28" s="342">
        <f>SUM(M37:M41)</f>
        <v>-193977</v>
      </c>
      <c r="S28" s="540"/>
      <c r="U28" s="538" t="s">
        <v>1048</v>
      </c>
      <c r="V28" s="296"/>
      <c r="W28" s="296"/>
      <c r="X28" s="420">
        <f>(M27+M40)*-1</f>
        <v>0</v>
      </c>
      <c r="Y28" s="626"/>
      <c r="Z28" s="326"/>
    </row>
    <row r="29" spans="1:26" s="50" customFormat="1" ht="12" customHeight="1">
      <c r="A29" s="293"/>
      <c r="B29" s="551" t="s">
        <v>37</v>
      </c>
      <c r="C29" s="179"/>
      <c r="D29" s="356">
        <f t="shared" ref="D29:L29" si="4">SUM(D23:D28)</f>
        <v>2673648</v>
      </c>
      <c r="E29" s="356">
        <f t="shared" si="4"/>
        <v>3900268</v>
      </c>
      <c r="F29" s="356">
        <f t="shared" si="4"/>
        <v>0</v>
      </c>
      <c r="G29" s="356">
        <f t="shared" si="4"/>
        <v>0</v>
      </c>
      <c r="H29" s="356">
        <f t="shared" si="4"/>
        <v>0</v>
      </c>
      <c r="I29" s="356">
        <f t="shared" si="4"/>
        <v>0</v>
      </c>
      <c r="J29" s="356">
        <f t="shared" si="4"/>
        <v>0</v>
      </c>
      <c r="K29" s="356">
        <f t="shared" si="4"/>
        <v>0</v>
      </c>
      <c r="L29" s="356">
        <f t="shared" si="4"/>
        <v>0</v>
      </c>
      <c r="M29" s="356">
        <f t="shared" si="3"/>
        <v>6573916</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10810355</v>
      </c>
      <c r="R30" s="429">
        <f>R28+R24</f>
        <v>-1818785</v>
      </c>
      <c r="S30" s="553"/>
      <c r="U30" s="621" t="s">
        <v>1050</v>
      </c>
      <c r="V30" s="221"/>
      <c r="W30" s="221"/>
      <c r="X30" s="625">
        <f>SUM(X28:X29)</f>
        <v>0</v>
      </c>
      <c r="Y30" s="626"/>
    </row>
    <row r="31" spans="1:26" s="50" customFormat="1" ht="12.75" customHeight="1">
      <c r="A31" s="293"/>
      <c r="B31" s="536" t="s">
        <v>1005</v>
      </c>
      <c r="C31" s="536"/>
      <c r="D31" s="356">
        <f t="shared" ref="D31:L31" si="5">D36-SUM(D32:D35)</f>
        <v>0</v>
      </c>
      <c r="E31" s="356">
        <f t="shared" si="5"/>
        <v>2611631</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2611631</v>
      </c>
      <c r="O31" s="430" t="s">
        <v>217</v>
      </c>
      <c r="P31" s="305"/>
      <c r="Q31" s="349"/>
      <c r="R31" s="305"/>
      <c r="S31" s="540"/>
      <c r="U31" s="548" t="s">
        <v>1051</v>
      </c>
      <c r="V31" s="549"/>
      <c r="W31" s="549"/>
      <c r="X31" s="550">
        <f>X27+X30</f>
        <v>381865</v>
      </c>
      <c r="Y31" s="420"/>
      <c r="Z31" s="326"/>
    </row>
    <row r="32" spans="1:26" s="50" customFormat="1" ht="12.75" customHeight="1">
      <c r="A32" s="293"/>
      <c r="B32" s="51" t="s">
        <v>638</v>
      </c>
      <c r="C32" s="51"/>
      <c r="D32" s="355">
        <f>Input!$ER$15</f>
        <v>0</v>
      </c>
      <c r="E32" s="355">
        <f>Input!$ES$15</f>
        <v>0</v>
      </c>
      <c r="F32" s="355">
        <f>Input!$ET$15</f>
        <v>0</v>
      </c>
      <c r="G32" s="355">
        <f>Input!$EU$15</f>
        <v>0</v>
      </c>
      <c r="H32" s="355">
        <f>Input!$EV$15</f>
        <v>0</v>
      </c>
      <c r="I32" s="355">
        <f>Input!$EW$15</f>
        <v>0</v>
      </c>
      <c r="J32" s="355">
        <f>Input!$EX$15</f>
        <v>0</v>
      </c>
      <c r="K32" s="355">
        <f>Input!$EY$15</f>
        <v>0</v>
      </c>
      <c r="L32" s="355">
        <f>Input!$EZ$15</f>
        <v>0</v>
      </c>
      <c r="M32" s="543">
        <f t="shared" si="6"/>
        <v>0</v>
      </c>
      <c r="O32" s="431" t="s">
        <v>1245</v>
      </c>
      <c r="P32" s="432"/>
      <c r="Q32" s="433">
        <f>Input!$TI$15</f>
        <v>10810355</v>
      </c>
      <c r="R32" s="432"/>
      <c r="S32" s="554"/>
      <c r="U32" s="538"/>
      <c r="V32" s="296"/>
      <c r="W32" s="296"/>
      <c r="Y32" s="420"/>
      <c r="Z32" s="326"/>
    </row>
    <row r="33" spans="1:28" s="50" customFormat="1">
      <c r="A33" s="293"/>
      <c r="B33" s="51" t="s">
        <v>639</v>
      </c>
      <c r="C33" s="51"/>
      <c r="D33" s="355">
        <f>Input!$FA$15</f>
        <v>0</v>
      </c>
      <c r="E33" s="355">
        <f>Input!$FB$15</f>
        <v>0</v>
      </c>
      <c r="F33" s="355">
        <f>Input!$FC$15</f>
        <v>0</v>
      </c>
      <c r="G33" s="355">
        <f>Input!$FD$15</f>
        <v>0</v>
      </c>
      <c r="H33" s="355">
        <f>Input!$FE$15</f>
        <v>0</v>
      </c>
      <c r="I33" s="355">
        <f>Input!$FF$15</f>
        <v>0</v>
      </c>
      <c r="J33" s="355">
        <f>Input!$FG$15</f>
        <v>0</v>
      </c>
      <c r="K33" s="355">
        <f>Input!$FH$15</f>
        <v>0</v>
      </c>
      <c r="L33" s="355">
        <f>Input!$FI$15</f>
        <v>0</v>
      </c>
      <c r="M33" s="543">
        <f t="shared" si="6"/>
        <v>0</v>
      </c>
      <c r="O33" s="431"/>
      <c r="P33" s="432"/>
      <c r="Q33" s="342"/>
      <c r="R33" s="432"/>
      <c r="S33" s="554"/>
      <c r="U33" s="538" t="s">
        <v>1004</v>
      </c>
      <c r="V33" s="296"/>
      <c r="W33" s="296"/>
      <c r="X33" s="347">
        <f>(M19+M32)*-1</f>
        <v>251045</v>
      </c>
      <c r="Y33" s="420"/>
    </row>
    <row r="34" spans="1:28" s="50" customFormat="1">
      <c r="A34" s="293"/>
      <c r="B34" s="51" t="s">
        <v>640</v>
      </c>
      <c r="C34" s="51"/>
      <c r="D34" s="355">
        <f>Input!$FJ$15</f>
        <v>0</v>
      </c>
      <c r="E34" s="355">
        <f>Input!$FK$15</f>
        <v>0</v>
      </c>
      <c r="F34" s="355">
        <f>Input!$FL$15</f>
        <v>0</v>
      </c>
      <c r="G34" s="355">
        <f>Input!$FM$15</f>
        <v>0</v>
      </c>
      <c r="H34" s="355">
        <f>Input!$FN$15</f>
        <v>0</v>
      </c>
      <c r="I34" s="355">
        <f>Input!$FO$15</f>
        <v>0</v>
      </c>
      <c r="J34" s="355">
        <f>Input!$FP$15</f>
        <v>0</v>
      </c>
      <c r="K34" s="355">
        <f>Input!$FQ$15</f>
        <v>0</v>
      </c>
      <c r="L34" s="355">
        <f>Input!$FR$15</f>
        <v>0</v>
      </c>
      <c r="M34" s="543">
        <f t="shared" si="6"/>
        <v>0</v>
      </c>
      <c r="O34" s="434" t="s">
        <v>1246</v>
      </c>
      <c r="P34" s="435"/>
      <c r="Q34" s="50" t="s">
        <v>218</v>
      </c>
      <c r="R34" s="433">
        <f>Input!$TJ$15</f>
        <v>-1818785</v>
      </c>
      <c r="S34" s="555"/>
      <c r="U34" s="538" t="s">
        <v>1052</v>
      </c>
      <c r="V34" s="296"/>
      <c r="W34" s="296"/>
      <c r="X34" s="426">
        <f>(M24+M37)*-1</f>
        <v>0</v>
      </c>
      <c r="Y34" s="420"/>
    </row>
    <row r="35" spans="1:28" s="50" customFormat="1" ht="13.5" thickBot="1">
      <c r="A35" s="293"/>
      <c r="B35" s="51" t="s">
        <v>641</v>
      </c>
      <c r="C35" s="51"/>
      <c r="D35" s="355">
        <f>Input!$FS$15</f>
        <v>0</v>
      </c>
      <c r="E35" s="355">
        <f>Input!$FT$15</f>
        <v>0</v>
      </c>
      <c r="F35" s="355">
        <f>Input!$FU$15</f>
        <v>0</v>
      </c>
      <c r="G35" s="355">
        <f>Input!$FV$15</f>
        <v>0</v>
      </c>
      <c r="H35" s="355">
        <f>Input!$FW$15</f>
        <v>0</v>
      </c>
      <c r="I35" s="355">
        <f>Input!$FX$15</f>
        <v>0</v>
      </c>
      <c r="J35" s="355">
        <f>Input!$FY$15</f>
        <v>0</v>
      </c>
      <c r="K35" s="355">
        <f>Input!$FZ$15</f>
        <v>0</v>
      </c>
      <c r="L35" s="355">
        <f>Input!$GA$15</f>
        <v>0</v>
      </c>
      <c r="M35" s="543">
        <f t="shared" si="6"/>
        <v>0</v>
      </c>
      <c r="O35" s="436" t="s">
        <v>219</v>
      </c>
      <c r="P35" s="437"/>
      <c r="Q35" s="438">
        <f>Q30-Q32</f>
        <v>0</v>
      </c>
      <c r="R35" s="439">
        <f>R30-R34</f>
        <v>0</v>
      </c>
      <c r="S35" s="556"/>
      <c r="U35" s="621" t="s">
        <v>1053</v>
      </c>
      <c r="V35" s="221"/>
      <c r="W35" s="221"/>
      <c r="X35" s="627">
        <f>SUM(X33:X34)</f>
        <v>251045</v>
      </c>
      <c r="Y35" s="626"/>
    </row>
    <row r="36" spans="1:28" s="50" customFormat="1" ht="13.5" thickTop="1">
      <c r="A36" s="293"/>
      <c r="B36" s="536" t="s">
        <v>648</v>
      </c>
      <c r="C36" s="179"/>
      <c r="D36" s="541">
        <f>Input!$GB$15</f>
        <v>0</v>
      </c>
      <c r="E36" s="541">
        <f>Input!$GC$15</f>
        <v>2611631</v>
      </c>
      <c r="F36" s="541">
        <f>Input!$GD$15</f>
        <v>0</v>
      </c>
      <c r="G36" s="541">
        <f>Input!$GE$15</f>
        <v>0</v>
      </c>
      <c r="H36" s="541">
        <f>Input!$GF$15</f>
        <v>0</v>
      </c>
      <c r="I36" s="541">
        <f>Input!$GG$15</f>
        <v>0</v>
      </c>
      <c r="J36" s="541">
        <f>Input!$GH$15</f>
        <v>0</v>
      </c>
      <c r="K36" s="541">
        <f>Input!$GI$15</f>
        <v>0</v>
      </c>
      <c r="L36" s="541">
        <f>Input!$GJ$15</f>
        <v>0</v>
      </c>
      <c r="M36" s="542">
        <f t="shared" si="6"/>
        <v>2611631</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Input!$GK$15</f>
        <v>0</v>
      </c>
      <c r="E37" s="355">
        <f>Input!$GL$15</f>
        <v>0</v>
      </c>
      <c r="F37" s="355">
        <f>Input!$GM$15</f>
        <v>0</v>
      </c>
      <c r="G37" s="355">
        <f>Input!$GN$15</f>
        <v>0</v>
      </c>
      <c r="H37" s="355">
        <f>Input!$GO$15</f>
        <v>0</v>
      </c>
      <c r="I37" s="355">
        <f>Input!$GP$15</f>
        <v>0</v>
      </c>
      <c r="J37" s="355">
        <f>Input!$GQ$15</f>
        <v>0</v>
      </c>
      <c r="K37" s="355">
        <f>Input!$GR$15</f>
        <v>0</v>
      </c>
      <c r="L37" s="355">
        <f>Input!$GS$15</f>
        <v>0</v>
      </c>
      <c r="M37" s="543">
        <f t="shared" si="6"/>
        <v>0</v>
      </c>
      <c r="O37" s="51"/>
      <c r="U37" s="538" t="s">
        <v>1054</v>
      </c>
      <c r="V37" s="296"/>
      <c r="W37" s="296"/>
      <c r="X37" s="426">
        <f>(M25+M38)*-1</f>
        <v>0</v>
      </c>
      <c r="Y37" s="626"/>
    </row>
    <row r="38" spans="1:28" s="50" customFormat="1">
      <c r="A38" s="293"/>
      <c r="B38" s="51" t="s">
        <v>644</v>
      </c>
      <c r="C38" s="180"/>
      <c r="D38" s="355">
        <f>Input!$GT$15</f>
        <v>0</v>
      </c>
      <c r="E38" s="355">
        <f>Input!$GU$15</f>
        <v>0</v>
      </c>
      <c r="F38" s="355">
        <f>Input!$GV$15</f>
        <v>0</v>
      </c>
      <c r="G38" s="355">
        <f>Input!$GW$15</f>
        <v>0</v>
      </c>
      <c r="H38" s="355">
        <f>Input!$GX$15</f>
        <v>0</v>
      </c>
      <c r="I38" s="355">
        <f>Input!$GY$15</f>
        <v>0</v>
      </c>
      <c r="J38" s="355">
        <f>Input!$GZ$15</f>
        <v>0</v>
      </c>
      <c r="K38" s="355">
        <f>Input!$HA$15</f>
        <v>0</v>
      </c>
      <c r="L38" s="355">
        <f>Input!$HB$15</f>
        <v>0</v>
      </c>
      <c r="M38" s="543">
        <f t="shared" si="6"/>
        <v>0</v>
      </c>
      <c r="O38" s="51"/>
      <c r="U38" s="621" t="s">
        <v>1055</v>
      </c>
      <c r="V38" s="221"/>
      <c r="W38" s="221"/>
      <c r="X38" s="627">
        <f>SUM(X36:X37)</f>
        <v>0</v>
      </c>
      <c r="Y38" s="420"/>
    </row>
    <row r="39" spans="1:28" s="50" customFormat="1">
      <c r="A39" s="293"/>
      <c r="B39" s="51" t="s">
        <v>645</v>
      </c>
      <c r="C39" s="180"/>
      <c r="D39" s="355">
        <f>Input!$HC$15</f>
        <v>0</v>
      </c>
      <c r="E39" s="355">
        <f>Input!$HD$15</f>
        <v>-193977</v>
      </c>
      <c r="F39" s="355">
        <f>Input!$HE$15</f>
        <v>0</v>
      </c>
      <c r="G39" s="355">
        <f>Input!$HF$15</f>
        <v>0</v>
      </c>
      <c r="H39" s="355">
        <f>Input!$HG$15</f>
        <v>0</v>
      </c>
      <c r="I39" s="355">
        <f>Input!$HH$15</f>
        <v>0</v>
      </c>
      <c r="J39" s="355">
        <f>Input!$HI$15</f>
        <v>0</v>
      </c>
      <c r="K39" s="355">
        <f>Input!$HJ$15</f>
        <v>0</v>
      </c>
      <c r="L39" s="355">
        <f>Input!$HK$15</f>
        <v>0</v>
      </c>
      <c r="M39" s="543">
        <f t="shared" si="6"/>
        <v>-193977</v>
      </c>
      <c r="O39" s="51"/>
      <c r="U39" s="538" t="s">
        <v>1007</v>
      </c>
      <c r="V39" s="296"/>
      <c r="W39" s="296"/>
      <c r="X39" s="347"/>
      <c r="Y39" s="420">
        <f>X38+X35</f>
        <v>251045</v>
      </c>
    </row>
    <row r="40" spans="1:28" s="50" customFormat="1">
      <c r="A40" s="293"/>
      <c r="B40" s="51" t="s">
        <v>646</v>
      </c>
      <c r="C40" s="180"/>
      <c r="D40" s="355">
        <f>Input!$HL$15</f>
        <v>0</v>
      </c>
      <c r="E40" s="355">
        <f>Input!$HM$15</f>
        <v>0</v>
      </c>
      <c r="F40" s="355">
        <f>Input!$HN$15</f>
        <v>0</v>
      </c>
      <c r="G40" s="355">
        <f>Input!$HO$15</f>
        <v>0</v>
      </c>
      <c r="H40" s="355">
        <f>Input!$HP$15</f>
        <v>0</v>
      </c>
      <c r="I40" s="355">
        <f>Input!$HQ$15</f>
        <v>0</v>
      </c>
      <c r="J40" s="355">
        <f>Input!$HR$15</f>
        <v>0</v>
      </c>
      <c r="K40" s="355">
        <f>Input!$HS$15</f>
        <v>0</v>
      </c>
      <c r="L40" s="355">
        <f>Input!$HT$15</f>
        <v>0</v>
      </c>
      <c r="M40" s="543">
        <f t="shared" si="6"/>
        <v>0</v>
      </c>
      <c r="O40" s="51"/>
      <c r="U40" s="538"/>
      <c r="V40" s="51"/>
      <c r="W40" s="51"/>
      <c r="X40" s="51"/>
      <c r="Y40" s="626"/>
    </row>
    <row r="41" spans="1:28" s="50" customFormat="1">
      <c r="A41" s="293"/>
      <c r="B41" s="51" t="s">
        <v>1361</v>
      </c>
      <c r="C41" s="180"/>
      <c r="D41" s="355">
        <f>Input!$HU$15</f>
        <v>0</v>
      </c>
      <c r="E41" s="355">
        <f>Input!$HV$15</f>
        <v>0</v>
      </c>
      <c r="F41" s="355">
        <f>Input!$HW$15</f>
        <v>0</v>
      </c>
      <c r="G41" s="355">
        <f>Input!$HX$15</f>
        <v>0</v>
      </c>
      <c r="H41" s="355">
        <f>Input!$HY$15</f>
        <v>0</v>
      </c>
      <c r="I41" s="355">
        <f>Input!$HZ$15</f>
        <v>0</v>
      </c>
      <c r="J41" s="355">
        <f>Input!$IA$15</f>
        <v>0</v>
      </c>
      <c r="K41" s="355">
        <f>Input!$IB$15</f>
        <v>0</v>
      </c>
      <c r="L41" s="355">
        <f>Input!$IC$15</f>
        <v>0</v>
      </c>
      <c r="M41" s="543">
        <f t="shared" si="6"/>
        <v>0</v>
      </c>
      <c r="O41"/>
      <c r="P41"/>
      <c r="Q41"/>
      <c r="R41"/>
      <c r="S41"/>
      <c r="U41" s="538" t="s">
        <v>1046</v>
      </c>
      <c r="V41" s="296"/>
      <c r="W41" s="296"/>
      <c r="X41" s="326">
        <f>(M21+M34)*-1</f>
        <v>0</v>
      </c>
      <c r="Y41" s="420"/>
    </row>
    <row r="42" spans="1:28" s="50" customFormat="1">
      <c r="A42" s="293"/>
      <c r="B42" s="551" t="s">
        <v>38</v>
      </c>
      <c r="C42" s="179"/>
      <c r="D42" s="356">
        <f t="shared" ref="D42:L42" si="7">SUM(D36:D41)</f>
        <v>0</v>
      </c>
      <c r="E42" s="356">
        <f t="shared" si="7"/>
        <v>2417654</v>
      </c>
      <c r="F42" s="356">
        <f t="shared" si="7"/>
        <v>0</v>
      </c>
      <c r="G42" s="356">
        <f t="shared" si="7"/>
        <v>0</v>
      </c>
      <c r="H42" s="356">
        <f t="shared" si="7"/>
        <v>0</v>
      </c>
      <c r="I42" s="356">
        <f t="shared" si="7"/>
        <v>0</v>
      </c>
      <c r="J42" s="356">
        <f t="shared" si="7"/>
        <v>0</v>
      </c>
      <c r="K42" s="356">
        <f t="shared" si="7"/>
        <v>0</v>
      </c>
      <c r="L42" s="356">
        <f t="shared" si="7"/>
        <v>0</v>
      </c>
      <c r="M42" s="356">
        <f t="shared" si="6"/>
        <v>2417654</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2673648</v>
      </c>
      <c r="E44" s="356">
        <f t="shared" si="8"/>
        <v>6317922</v>
      </c>
      <c r="F44" s="356">
        <f t="shared" si="8"/>
        <v>0</v>
      </c>
      <c r="G44" s="356">
        <f t="shared" si="8"/>
        <v>0</v>
      </c>
      <c r="H44" s="356">
        <f t="shared" si="8"/>
        <v>0</v>
      </c>
      <c r="I44" s="356">
        <f t="shared" si="8"/>
        <v>0</v>
      </c>
      <c r="J44" s="356">
        <f t="shared" si="8"/>
        <v>0</v>
      </c>
      <c r="K44" s="356">
        <f t="shared" si="8"/>
        <v>0</v>
      </c>
      <c r="L44" s="356">
        <f t="shared" si="8"/>
        <v>0</v>
      </c>
      <c r="M44" s="356">
        <f>D44+E44+F44+G44+H44+I44+J44+K44+L44</f>
        <v>8991570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Input!$ID$15</f>
        <v>0</v>
      </c>
      <c r="E47" s="358">
        <f>Input!$IE$15</f>
        <v>913044</v>
      </c>
      <c r="F47" s="358">
        <f>Input!$IF$15</f>
        <v>0</v>
      </c>
      <c r="G47" s="358">
        <f>Input!$IG$15</f>
        <v>2871495</v>
      </c>
      <c r="H47" s="358">
        <f>Input!$IH$15</f>
        <v>0</v>
      </c>
      <c r="I47" s="358">
        <f>Input!$II$15</f>
        <v>0</v>
      </c>
      <c r="J47" s="358">
        <f>Input!$IJ$15</f>
        <v>0</v>
      </c>
      <c r="K47" s="358">
        <f>Input!$IK$15</f>
        <v>0</v>
      </c>
      <c r="L47" s="358">
        <f>Input!$IL$15</f>
        <v>0</v>
      </c>
      <c r="M47" s="356">
        <f>D47+E47+F47+G47+H47+I47+J47+K47+L47</f>
        <v>3784539</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11061400</v>
      </c>
      <c r="Z49" s="50"/>
      <c r="AA49" s="50"/>
      <c r="AB49" s="50"/>
    </row>
    <row r="50" spans="1:28" s="149" customFormat="1">
      <c r="A50" s="147">
        <v>33</v>
      </c>
      <c r="B50" s="158" t="s">
        <v>56</v>
      </c>
      <c r="C50" s="158"/>
      <c r="D50" s="358">
        <f>Input!$IM$15</f>
        <v>0</v>
      </c>
      <c r="E50" s="358">
        <f>Input!$IN$15</f>
        <v>51823292</v>
      </c>
      <c r="F50" s="358">
        <f>Input!$IO$15</f>
        <v>0</v>
      </c>
      <c r="G50" s="358">
        <f>Input!$IP$15</f>
        <v>0</v>
      </c>
      <c r="H50" s="358">
        <f>Input!$IQ$15</f>
        <v>0</v>
      </c>
      <c r="I50" s="358">
        <f>Input!$IR$15</f>
        <v>0</v>
      </c>
      <c r="J50" s="358">
        <f>Input!$IS$15</f>
        <v>0</v>
      </c>
      <c r="K50" s="358">
        <f>Input!$IT$15</f>
        <v>0</v>
      </c>
      <c r="L50" s="358">
        <f>Input!$IU$15</f>
        <v>0</v>
      </c>
      <c r="M50" s="356">
        <f>D50+E50+F50+G50+H50+I50+J50+K50+L50</f>
        <v>51823292</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Input!$IV$15</f>
        <v>0</v>
      </c>
      <c r="E53" s="358">
        <f>Input!$IW$15</f>
        <v>0</v>
      </c>
      <c r="F53" s="358">
        <f>Input!$IX$15</f>
        <v>0</v>
      </c>
      <c r="G53" s="358">
        <f>Input!$IY$15</f>
        <v>0</v>
      </c>
      <c r="H53" s="358">
        <f>Input!$IZ$15</f>
        <v>0</v>
      </c>
      <c r="I53" s="358">
        <f>Input!$JA$15</f>
        <v>0</v>
      </c>
      <c r="J53" s="358">
        <f>Input!$JB$15</f>
        <v>0</v>
      </c>
      <c r="K53" s="358">
        <f>Input!$JC$15</f>
        <v>0</v>
      </c>
      <c r="L53" s="358">
        <f>Input!$JD$15</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Input!$JE$15</f>
        <v>32293</v>
      </c>
      <c r="E56" s="355">
        <f>Input!$JF$15</f>
        <v>5374382</v>
      </c>
      <c r="F56" s="355">
        <f>Input!$JG$15</f>
        <v>7201</v>
      </c>
      <c r="G56" s="355">
        <f>Input!$JH$15</f>
        <v>1106443</v>
      </c>
      <c r="H56" s="355">
        <f>Input!$JI$15</f>
        <v>6619</v>
      </c>
      <c r="I56" s="355">
        <f>Input!$JJ$15</f>
        <v>-749572</v>
      </c>
      <c r="J56" s="355">
        <f>Input!$JK$15</f>
        <v>35410</v>
      </c>
      <c r="K56" s="355">
        <f>Input!$JL$15</f>
        <v>0</v>
      </c>
      <c r="L56" s="355">
        <f>Input!$JM$15</f>
        <v>0</v>
      </c>
      <c r="M56" s="357">
        <f t="shared" ref="M56:M62" si="9">D56+E56+F56+G56+H56+I56+J56+K56+L56</f>
        <v>5812776</v>
      </c>
      <c r="O56" s="51"/>
      <c r="P56" s="50"/>
      <c r="Q56" s="50"/>
      <c r="R56" s="50"/>
      <c r="S56" s="50"/>
      <c r="T56" s="50"/>
      <c r="U56" s="50"/>
      <c r="V56" s="50"/>
      <c r="W56" s="50"/>
      <c r="X56" s="306"/>
      <c r="Y56" s="50"/>
      <c r="Z56" s="50"/>
      <c r="AA56" s="50"/>
      <c r="AB56" s="50"/>
    </row>
    <row r="57" spans="1:28" s="149" customFormat="1">
      <c r="A57" s="147">
        <v>40</v>
      </c>
      <c r="B57" s="149" t="s">
        <v>9</v>
      </c>
      <c r="D57" s="355">
        <f>Input!$JN$15</f>
        <v>0</v>
      </c>
      <c r="E57" s="355">
        <f>Input!$JO$15</f>
        <v>1588687</v>
      </c>
      <c r="F57" s="355">
        <f>Input!$JP$15</f>
        <v>0</v>
      </c>
      <c r="G57" s="355">
        <f>Input!$JQ$15</f>
        <v>3674533</v>
      </c>
      <c r="H57" s="355">
        <f>Input!$JR$15</f>
        <v>0</v>
      </c>
      <c r="I57" s="355">
        <f>Input!$JS$15</f>
        <v>0</v>
      </c>
      <c r="J57" s="355">
        <f>Input!$JT$15</f>
        <v>0</v>
      </c>
      <c r="K57" s="355">
        <f>Input!$JU$15</f>
        <v>0</v>
      </c>
      <c r="L57" s="355">
        <f>Input!$JV$15</f>
        <v>0</v>
      </c>
      <c r="M57" s="357">
        <f t="shared" si="9"/>
        <v>5263220</v>
      </c>
      <c r="O57" s="50"/>
      <c r="P57" s="307"/>
      <c r="Q57" s="50"/>
      <c r="R57" s="50"/>
      <c r="S57" s="50"/>
      <c r="T57" s="50"/>
      <c r="U57" s="50"/>
      <c r="V57" s="50"/>
      <c r="W57" s="50"/>
      <c r="X57" s="50"/>
      <c r="Y57" s="50"/>
      <c r="Z57" s="50"/>
      <c r="AA57" s="50"/>
      <c r="AB57" s="50"/>
    </row>
    <row r="58" spans="1:28" s="149" customFormat="1">
      <c r="A58" s="147">
        <v>41</v>
      </c>
      <c r="B58" s="149" t="s">
        <v>10</v>
      </c>
      <c r="D58" s="355">
        <f>Input!$JW$15</f>
        <v>0</v>
      </c>
      <c r="E58" s="355">
        <f>Input!$JX$15</f>
        <v>67505344</v>
      </c>
      <c r="F58" s="355">
        <f>Input!$JY$15</f>
        <v>0</v>
      </c>
      <c r="G58" s="355">
        <f>Input!$JZ$15</f>
        <v>12168432</v>
      </c>
      <c r="H58" s="355">
        <f>Input!$KA$15</f>
        <v>0</v>
      </c>
      <c r="I58" s="355">
        <f>Input!$KB$15</f>
        <v>0</v>
      </c>
      <c r="J58" s="355">
        <f>Input!$KC$15</f>
        <v>-230353</v>
      </c>
      <c r="K58" s="355">
        <f>Input!$KD$15</f>
        <v>0</v>
      </c>
      <c r="L58" s="355">
        <f>Input!$KE$15</f>
        <v>0</v>
      </c>
      <c r="M58" s="357">
        <f t="shared" si="9"/>
        <v>79443423</v>
      </c>
      <c r="O58" s="302"/>
      <c r="P58" s="50"/>
      <c r="Q58" s="50"/>
      <c r="R58" s="50"/>
      <c r="S58" s="50"/>
      <c r="T58" s="50"/>
      <c r="U58" s="50"/>
      <c r="V58" s="50"/>
      <c r="W58" s="50"/>
      <c r="X58" s="50"/>
      <c r="Y58" s="50"/>
      <c r="Z58" s="50"/>
      <c r="AA58" s="50"/>
      <c r="AB58" s="50"/>
    </row>
    <row r="59" spans="1:28" s="149" customFormat="1" ht="13.5" thickBot="1">
      <c r="A59" s="147">
        <v>42</v>
      </c>
      <c r="B59" s="149" t="s">
        <v>54</v>
      </c>
      <c r="D59" s="355">
        <f>Input!$KF$15</f>
        <v>0</v>
      </c>
      <c r="E59" s="355">
        <f>Input!$KG$15</f>
        <v>416475</v>
      </c>
      <c r="F59" s="355">
        <f>Input!$KH$15</f>
        <v>0</v>
      </c>
      <c r="G59" s="355">
        <f>Input!$KI$15</f>
        <v>1131</v>
      </c>
      <c r="H59" s="355">
        <f>Input!$KJ$15</f>
        <v>0</v>
      </c>
      <c r="I59" s="355">
        <f>Input!$KK$15</f>
        <v>0</v>
      </c>
      <c r="J59" s="355">
        <f>Input!$KL$15</f>
        <v>0</v>
      </c>
      <c r="K59" s="355">
        <f>Input!$KM$15</f>
        <v>0</v>
      </c>
      <c r="L59" s="355">
        <f>Input!$KN$15</f>
        <v>0</v>
      </c>
      <c r="M59" s="357">
        <f t="shared" si="9"/>
        <v>417606</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Input!$KO$15</f>
        <v>0</v>
      </c>
      <c r="E60" s="355">
        <f>Input!$KP$15</f>
        <v>0</v>
      </c>
      <c r="F60" s="355">
        <f>Input!$KQ$15</f>
        <v>276566</v>
      </c>
      <c r="G60" s="355">
        <f>Input!$KR$15</f>
        <v>0</v>
      </c>
      <c r="H60" s="355">
        <f>Input!$KS$15</f>
        <v>0</v>
      </c>
      <c r="I60" s="355">
        <f>Input!$KT$15</f>
        <v>0</v>
      </c>
      <c r="J60" s="355">
        <f>Input!$KU$15</f>
        <v>0</v>
      </c>
      <c r="K60" s="355">
        <f>Input!$KV$15</f>
        <v>0</v>
      </c>
      <c r="L60" s="355">
        <f>Input!$KW$15</f>
        <v>0</v>
      </c>
      <c r="M60" s="357">
        <f t="shared" si="9"/>
        <v>276566</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Input!$KX$15</f>
        <v>2044</v>
      </c>
      <c r="E61" s="355">
        <f>Input!$KY$15</f>
        <v>13119687</v>
      </c>
      <c r="F61" s="355">
        <f>Input!$KZ$15</f>
        <v>0</v>
      </c>
      <c r="G61" s="355">
        <f>Input!$LA$15</f>
        <v>0</v>
      </c>
      <c r="H61" s="355">
        <f>Input!$LB$15</f>
        <v>0</v>
      </c>
      <c r="I61" s="355">
        <f>Input!$LC$15</f>
        <v>0</v>
      </c>
      <c r="J61" s="355">
        <f>Input!$LD$15</f>
        <v>0</v>
      </c>
      <c r="K61" s="355">
        <f>Input!$LE$15</f>
        <v>0</v>
      </c>
      <c r="L61" s="355">
        <f>Input!$LF$15</f>
        <v>-114149</v>
      </c>
      <c r="M61" s="357">
        <f t="shared" si="9"/>
        <v>13007582</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34337</v>
      </c>
      <c r="E62" s="356">
        <f t="shared" si="10"/>
        <v>88004575</v>
      </c>
      <c r="F62" s="356">
        <f t="shared" si="10"/>
        <v>283767</v>
      </c>
      <c r="G62" s="356">
        <f t="shared" si="10"/>
        <v>16950539</v>
      </c>
      <c r="H62" s="356">
        <f t="shared" si="10"/>
        <v>6619</v>
      </c>
      <c r="I62" s="356">
        <f t="shared" si="10"/>
        <v>-749572</v>
      </c>
      <c r="J62" s="356">
        <f t="shared" si="10"/>
        <v>-194943</v>
      </c>
      <c r="K62" s="356">
        <f t="shared" si="10"/>
        <v>0</v>
      </c>
      <c r="L62" s="356">
        <f t="shared" si="10"/>
        <v>-114149</v>
      </c>
      <c r="M62" s="356">
        <f t="shared" si="9"/>
        <v>104221173</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86396847</v>
      </c>
      <c r="E63" s="356">
        <f t="shared" ref="E63:M63" si="11">E15+E44+E47+E50+E53+E62</f>
        <v>147360953</v>
      </c>
      <c r="F63" s="356">
        <f t="shared" si="11"/>
        <v>283767</v>
      </c>
      <c r="G63" s="356">
        <f t="shared" si="11"/>
        <v>23839426</v>
      </c>
      <c r="H63" s="356">
        <f t="shared" si="11"/>
        <v>6619</v>
      </c>
      <c r="I63" s="356">
        <f t="shared" si="11"/>
        <v>-749572</v>
      </c>
      <c r="J63" s="356">
        <f t="shared" si="11"/>
        <v>-194943</v>
      </c>
      <c r="K63" s="356">
        <f t="shared" si="11"/>
        <v>0</v>
      </c>
      <c r="L63" s="356">
        <f t="shared" si="11"/>
        <v>-114149</v>
      </c>
      <c r="M63" s="356">
        <f t="shared" si="11"/>
        <v>256828948</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Input!$LG$15</f>
        <v>21888775</v>
      </c>
      <c r="E65" s="355">
        <f>Input!$LH$15</f>
        <v>70190882</v>
      </c>
      <c r="F65" s="355">
        <f>Input!$LI$15</f>
        <v>0</v>
      </c>
      <c r="G65" s="355">
        <f>Input!$LJ$15</f>
        <v>16165400</v>
      </c>
      <c r="H65" s="355">
        <f>Input!$LK$15</f>
        <v>0</v>
      </c>
      <c r="I65" s="355">
        <f>Input!$LL$15</f>
        <v>0</v>
      </c>
      <c r="J65" s="355">
        <f>Input!$LM$15</f>
        <v>0</v>
      </c>
      <c r="K65" s="355">
        <f>Input!$LN$15</f>
        <v>0</v>
      </c>
      <c r="L65" s="355">
        <f>Input!$LO$15</f>
        <v>0</v>
      </c>
      <c r="M65" s="357">
        <f t="shared" ref="M65:M77" si="12">D65+E65+F65+G65+H65+I65+J65+K65+L65</f>
        <v>108245057</v>
      </c>
      <c r="O65" s="310">
        <f>D65+E65+G65</f>
        <v>108245057</v>
      </c>
      <c r="P65" s="311">
        <f>Input!$TK$15</f>
        <v>385241</v>
      </c>
      <c r="Q65" s="311">
        <f>Input!$TU$15</f>
        <v>0</v>
      </c>
      <c r="R65" s="311">
        <f>Input!$UD$15</f>
        <v>0</v>
      </c>
      <c r="S65" s="312">
        <f>O65+P65-Q65-R65</f>
        <v>108630298</v>
      </c>
      <c r="T65" s="313"/>
      <c r="U65" s="494">
        <f>D65+E65+F65+G65+J65</f>
        <v>108245057</v>
      </c>
      <c r="V65" s="313"/>
      <c r="W65" s="314" t="s">
        <v>14</v>
      </c>
      <c r="X65" s="487">
        <f>Input!$UO$15</f>
        <v>108245057</v>
      </c>
      <c r="Y65" s="315">
        <f t="shared" ref="Y65:Y74" si="13">X65-M65</f>
        <v>0</v>
      </c>
      <c r="Z65" s="313"/>
      <c r="AA65" s="313"/>
      <c r="AB65" s="313"/>
    </row>
    <row r="66" spans="1:28" s="149" customFormat="1" ht="14.25" thickTop="1" thickBot="1">
      <c r="A66" s="147">
        <v>49</v>
      </c>
      <c r="B66" s="161" t="s">
        <v>15</v>
      </c>
      <c r="C66" s="161"/>
      <c r="D66" s="355">
        <f>Input!$LP$15</f>
        <v>5494435</v>
      </c>
      <c r="E66" s="355">
        <f>Input!$LQ$15</f>
        <v>2425442</v>
      </c>
      <c r="F66" s="355">
        <f>Input!$LR$15</f>
        <v>0</v>
      </c>
      <c r="G66" s="355">
        <f>Input!$LS$15</f>
        <v>3175125</v>
      </c>
      <c r="H66" s="355">
        <f>Input!$LT$15</f>
        <v>0</v>
      </c>
      <c r="I66" s="355">
        <f>Input!$LU$15</f>
        <v>0</v>
      </c>
      <c r="J66" s="355">
        <f>Input!$LV$15</f>
        <v>0</v>
      </c>
      <c r="K66" s="355">
        <f>Input!$LW$15</f>
        <v>0</v>
      </c>
      <c r="L66" s="355">
        <f>Input!$LX$15</f>
        <v>0</v>
      </c>
      <c r="M66" s="357">
        <f t="shared" si="12"/>
        <v>11095002</v>
      </c>
      <c r="O66" s="316">
        <f t="shared" ref="O66:O72" si="14">D66+E66+G66</f>
        <v>11095002</v>
      </c>
      <c r="P66" s="317">
        <f>Input!$TL$15</f>
        <v>421796</v>
      </c>
      <c r="Q66" s="317">
        <f>Input!$TV$15</f>
        <v>0</v>
      </c>
      <c r="R66" s="317">
        <f>Input!$UE$15</f>
        <v>0</v>
      </c>
      <c r="S66" s="318">
        <f>O66+P66-Q66-R66</f>
        <v>11516798</v>
      </c>
      <c r="T66" s="313"/>
      <c r="U66" s="495">
        <f t="shared" ref="U66:U76" si="15">D66+E66+F66+G66+J66</f>
        <v>11095002</v>
      </c>
      <c r="V66" s="313"/>
      <c r="W66" s="314" t="s">
        <v>15</v>
      </c>
      <c r="X66" s="363">
        <f>Input!$UP$15</f>
        <v>11095002</v>
      </c>
      <c r="Y66" s="319">
        <f t="shared" si="13"/>
        <v>0</v>
      </c>
      <c r="Z66" s="320"/>
      <c r="AA66" s="320"/>
      <c r="AB66" s="320"/>
    </row>
    <row r="67" spans="1:28" s="149" customFormat="1" ht="13.5" thickTop="1">
      <c r="A67" s="147">
        <v>50</v>
      </c>
      <c r="B67" s="161" t="s">
        <v>16</v>
      </c>
      <c r="C67" s="161"/>
      <c r="D67" s="355">
        <f>Input!$LY$15</f>
        <v>131535</v>
      </c>
      <c r="E67" s="355">
        <f>Input!$LZ$15</f>
        <v>420133</v>
      </c>
      <c r="F67" s="355">
        <f>Input!$MA$15</f>
        <v>0</v>
      </c>
      <c r="G67" s="355">
        <f>Input!$MB$15</f>
        <v>2269039</v>
      </c>
      <c r="H67" s="355">
        <f>Input!$MC$15</f>
        <v>0</v>
      </c>
      <c r="I67" s="355">
        <f>Input!$MD$15</f>
        <v>0</v>
      </c>
      <c r="J67" s="355">
        <f>Input!$ME$15</f>
        <v>0</v>
      </c>
      <c r="K67" s="355">
        <f>Input!$MF$15</f>
        <v>0</v>
      </c>
      <c r="L67" s="355">
        <f>Input!$MG$15</f>
        <v>0</v>
      </c>
      <c r="M67" s="357">
        <f t="shared" si="12"/>
        <v>2820707</v>
      </c>
      <c r="O67" s="316">
        <f t="shared" si="14"/>
        <v>2820707</v>
      </c>
      <c r="P67" s="317">
        <f>Input!$TM$15</f>
        <v>0</v>
      </c>
      <c r="Q67" s="317">
        <f>Input!$TW$15</f>
        <v>0</v>
      </c>
      <c r="R67" s="317">
        <f>Input!$UF$15</f>
        <v>36684</v>
      </c>
      <c r="S67" s="321">
        <f t="shared" ref="S67:S72" si="16">O67+P67-Q67-R67</f>
        <v>2784023</v>
      </c>
      <c r="T67" s="320"/>
      <c r="U67" s="495">
        <f t="shared" si="15"/>
        <v>2820707</v>
      </c>
      <c r="V67" s="320"/>
      <c r="W67" s="314" t="s">
        <v>16</v>
      </c>
      <c r="X67" s="363">
        <f>Input!$UQ$15</f>
        <v>2820707</v>
      </c>
      <c r="Y67" s="319">
        <f t="shared" si="13"/>
        <v>0</v>
      </c>
      <c r="Z67" s="320"/>
      <c r="AA67" s="320"/>
      <c r="AB67" s="320"/>
    </row>
    <row r="68" spans="1:28" s="149" customFormat="1">
      <c r="A68" s="147">
        <v>51</v>
      </c>
      <c r="B68" s="161" t="s">
        <v>55</v>
      </c>
      <c r="C68" s="161"/>
      <c r="D68" s="355">
        <f>Input!$MH$15</f>
        <v>1069737</v>
      </c>
      <c r="E68" s="355">
        <f>Input!$MI$15</f>
        <v>18995207</v>
      </c>
      <c r="F68" s="355">
        <f>Input!$MJ$15</f>
        <v>0</v>
      </c>
      <c r="G68" s="355">
        <f>Input!$MK$15</f>
        <v>306069</v>
      </c>
      <c r="H68" s="355">
        <f>Input!$ML$15</f>
        <v>0</v>
      </c>
      <c r="I68" s="355">
        <f>Input!$MM$15</f>
        <v>0</v>
      </c>
      <c r="J68" s="355">
        <f>Input!$MN$15</f>
        <v>0</v>
      </c>
      <c r="K68" s="355">
        <f>Input!$MO$15</f>
        <v>0</v>
      </c>
      <c r="L68" s="355">
        <f>Input!$MP$15</f>
        <v>0</v>
      </c>
      <c r="M68" s="357">
        <f t="shared" si="12"/>
        <v>20371013</v>
      </c>
      <c r="O68" s="316">
        <f t="shared" si="14"/>
        <v>20371013</v>
      </c>
      <c r="P68" s="317">
        <f>Input!$TN$15</f>
        <v>0</v>
      </c>
      <c r="Q68" s="317">
        <f>Input!$TX$15</f>
        <v>0</v>
      </c>
      <c r="R68" s="317">
        <f>Input!$UG$15</f>
        <v>0</v>
      </c>
      <c r="S68" s="321">
        <f t="shared" si="16"/>
        <v>20371013</v>
      </c>
      <c r="T68" s="320"/>
      <c r="U68" s="495">
        <f t="shared" si="15"/>
        <v>20371013</v>
      </c>
      <c r="V68" s="320"/>
      <c r="W68" s="314" t="s">
        <v>55</v>
      </c>
      <c r="X68" s="363">
        <f>Input!$UR$15</f>
        <v>20371013</v>
      </c>
      <c r="Y68" s="319">
        <f t="shared" si="13"/>
        <v>0</v>
      </c>
      <c r="Z68" s="320"/>
      <c r="AA68" s="320"/>
      <c r="AB68" s="320"/>
    </row>
    <row r="69" spans="1:28" s="149" customFormat="1">
      <c r="A69" s="147">
        <v>52</v>
      </c>
      <c r="B69" s="161" t="s">
        <v>17</v>
      </c>
      <c r="C69" s="161"/>
      <c r="D69" s="355">
        <f>Input!$MQ$15</f>
        <v>18303100</v>
      </c>
      <c r="E69" s="355">
        <f>Input!$MR$15</f>
        <v>29936748</v>
      </c>
      <c r="F69" s="355">
        <f>Input!$MS$15</f>
        <v>0</v>
      </c>
      <c r="G69" s="355">
        <f>Input!$MT$15</f>
        <v>1560569</v>
      </c>
      <c r="H69" s="355">
        <f>Input!$MU$15</f>
        <v>0</v>
      </c>
      <c r="I69" s="355">
        <f>Input!$MV$15</f>
        <v>0</v>
      </c>
      <c r="J69" s="355">
        <f>Input!$MW$15</f>
        <v>0</v>
      </c>
      <c r="K69" s="355">
        <f>Input!$MX$15</f>
        <v>0</v>
      </c>
      <c r="L69" s="355">
        <f>Input!$MY$15</f>
        <v>0</v>
      </c>
      <c r="M69" s="357">
        <f t="shared" si="12"/>
        <v>49800417</v>
      </c>
      <c r="O69" s="316">
        <f t="shared" si="14"/>
        <v>49800417</v>
      </c>
      <c r="P69" s="317">
        <f>Input!$TO$15</f>
        <v>231462</v>
      </c>
      <c r="Q69" s="317">
        <f>Input!$TY$15</f>
        <v>0</v>
      </c>
      <c r="R69" s="317">
        <f>Input!$UH$15</f>
        <v>0</v>
      </c>
      <c r="S69" s="321">
        <f t="shared" si="16"/>
        <v>50031879</v>
      </c>
      <c r="T69" s="320"/>
      <c r="U69" s="495">
        <f t="shared" si="15"/>
        <v>49800417</v>
      </c>
      <c r="V69" s="320"/>
      <c r="W69" s="314" t="s">
        <v>17</v>
      </c>
      <c r="X69" s="363">
        <f>Input!$US$15</f>
        <v>49800417</v>
      </c>
      <c r="Y69" s="319">
        <f t="shared" si="13"/>
        <v>0</v>
      </c>
      <c r="Z69" s="320"/>
      <c r="AA69" s="320"/>
      <c r="AB69" s="320"/>
    </row>
    <row r="70" spans="1:28" s="149" customFormat="1">
      <c r="A70" s="147">
        <v>53</v>
      </c>
      <c r="B70" s="161" t="s">
        <v>18</v>
      </c>
      <c r="C70" s="161"/>
      <c r="D70" s="355">
        <f>Input!$MZ$15</f>
        <v>1408367</v>
      </c>
      <c r="E70" s="355">
        <f>Input!$NA$15</f>
        <v>1712838</v>
      </c>
      <c r="F70" s="355">
        <f>Input!$NB$15</f>
        <v>0</v>
      </c>
      <c r="G70" s="355">
        <f>Input!$NC$15</f>
        <v>0</v>
      </c>
      <c r="H70" s="355">
        <f>Input!$ND$15</f>
        <v>2803</v>
      </c>
      <c r="I70" s="355">
        <f>Input!$NE$15</f>
        <v>0</v>
      </c>
      <c r="J70" s="355">
        <f>Input!$NF$15</f>
        <v>0</v>
      </c>
      <c r="K70" s="355">
        <f>Input!$NG$15</f>
        <v>0</v>
      </c>
      <c r="L70" s="355">
        <f>Input!$NH$15</f>
        <v>0</v>
      </c>
      <c r="M70" s="357">
        <f t="shared" si="12"/>
        <v>3124008</v>
      </c>
      <c r="O70" s="316">
        <f t="shared" si="14"/>
        <v>3121205</v>
      </c>
      <c r="P70" s="317">
        <f>Input!$TP$15</f>
        <v>71316</v>
      </c>
      <c r="Q70" s="317">
        <f>Input!$TZ$15</f>
        <v>0</v>
      </c>
      <c r="R70" s="317">
        <f>Input!$UI$15</f>
        <v>0</v>
      </c>
      <c r="S70" s="321">
        <f t="shared" si="16"/>
        <v>3192521</v>
      </c>
      <c r="T70" s="320"/>
      <c r="U70" s="495">
        <f t="shared" si="15"/>
        <v>3121205</v>
      </c>
      <c r="V70" s="320"/>
      <c r="W70" s="314" t="s">
        <v>18</v>
      </c>
      <c r="X70" s="363">
        <f>Input!$UT$15</f>
        <v>3124008</v>
      </c>
      <c r="Y70" s="319">
        <f t="shared" si="13"/>
        <v>0</v>
      </c>
      <c r="Z70" s="320"/>
      <c r="AA70" s="320"/>
      <c r="AB70" s="320"/>
    </row>
    <row r="71" spans="1:28" s="149" customFormat="1">
      <c r="A71" s="147">
        <v>54</v>
      </c>
      <c r="B71" s="161" t="s">
        <v>19</v>
      </c>
      <c r="C71" s="161"/>
      <c r="D71" s="355">
        <f>Input!$NI$15</f>
        <v>11655669</v>
      </c>
      <c r="E71" s="355">
        <f>Input!$NJ$15</f>
        <v>260667</v>
      </c>
      <c r="F71" s="355">
        <f>Input!$NK$15</f>
        <v>0</v>
      </c>
      <c r="G71" s="355">
        <f>Input!$NL$15</f>
        <v>0</v>
      </c>
      <c r="H71" s="355">
        <f>Input!$NM$15</f>
        <v>0</v>
      </c>
      <c r="I71" s="355">
        <f>Input!$NN$15</f>
        <v>0</v>
      </c>
      <c r="J71" s="355">
        <f>Input!$NO$15</f>
        <v>0</v>
      </c>
      <c r="K71" s="355">
        <f>Input!$NP$15</f>
        <v>0</v>
      </c>
      <c r="L71" s="355">
        <f>Input!$NQ$15</f>
        <v>0</v>
      </c>
      <c r="M71" s="357">
        <f t="shared" si="12"/>
        <v>11916336</v>
      </c>
      <c r="O71" s="316">
        <f t="shared" si="14"/>
        <v>11916336</v>
      </c>
      <c r="P71" s="317">
        <f>Input!$TQ$15</f>
        <v>378308</v>
      </c>
      <c r="Q71" s="317">
        <f>Input!$UA$15</f>
        <v>0</v>
      </c>
      <c r="R71" s="317">
        <f>Input!$UJ$15</f>
        <v>0</v>
      </c>
      <c r="S71" s="321">
        <f t="shared" si="16"/>
        <v>12294644</v>
      </c>
      <c r="T71" s="320"/>
      <c r="U71" s="495">
        <f t="shared" si="15"/>
        <v>11916336</v>
      </c>
      <c r="V71" s="320"/>
      <c r="W71" s="314" t="s">
        <v>19</v>
      </c>
      <c r="X71" s="363">
        <f>Input!$UU$15</f>
        <v>11916336</v>
      </c>
      <c r="Y71" s="319">
        <f t="shared" si="13"/>
        <v>0</v>
      </c>
      <c r="Z71" s="320"/>
      <c r="AA71" s="320"/>
      <c r="AB71" s="320"/>
    </row>
    <row r="72" spans="1:28" s="149" customFormat="1">
      <c r="A72" s="147">
        <v>55</v>
      </c>
      <c r="B72" s="161" t="s">
        <v>20</v>
      </c>
      <c r="C72" s="161"/>
      <c r="D72" s="355">
        <f>Input!$NR$15</f>
        <v>6762248</v>
      </c>
      <c r="E72" s="355">
        <f>Input!$NS$15</f>
        <v>2271960</v>
      </c>
      <c r="F72" s="355">
        <f>Input!$NT$15</f>
        <v>0</v>
      </c>
      <c r="G72" s="355">
        <f>Input!$NU$15</f>
        <v>0</v>
      </c>
      <c r="H72" s="355">
        <f>Input!$NV$15</f>
        <v>0</v>
      </c>
      <c r="I72" s="355">
        <f>Input!$NW$15</f>
        <v>0</v>
      </c>
      <c r="J72" s="355">
        <f>Input!$NX$15</f>
        <v>1485633</v>
      </c>
      <c r="K72" s="355">
        <f>Input!$NY$15</f>
        <v>0</v>
      </c>
      <c r="L72" s="355">
        <f>Input!$NZ$15</f>
        <v>0</v>
      </c>
      <c r="M72" s="357">
        <f t="shared" si="12"/>
        <v>10519841</v>
      </c>
      <c r="O72" s="316">
        <f t="shared" si="14"/>
        <v>9034208</v>
      </c>
      <c r="P72" s="317">
        <f>Input!$TR$15</f>
        <v>26946</v>
      </c>
      <c r="Q72" s="317">
        <f>Input!$UB$15</f>
        <v>0</v>
      </c>
      <c r="R72" s="317">
        <f>Input!$UK$15</f>
        <v>0</v>
      </c>
      <c r="S72" s="321">
        <f t="shared" si="16"/>
        <v>9061154</v>
      </c>
      <c r="T72" s="320"/>
      <c r="U72" s="495">
        <f t="shared" si="15"/>
        <v>10519841</v>
      </c>
      <c r="V72" s="320"/>
      <c r="W72" s="314" t="s">
        <v>184</v>
      </c>
      <c r="X72" s="363">
        <f>Input!$UV$15</f>
        <v>10519841</v>
      </c>
      <c r="Y72" s="319">
        <f t="shared" si="13"/>
        <v>0</v>
      </c>
      <c r="Z72" s="320"/>
      <c r="AA72" s="320"/>
      <c r="AB72" s="320"/>
    </row>
    <row r="73" spans="1:28" s="149" customFormat="1" ht="13.5" thickBot="1">
      <c r="A73" s="147">
        <v>56</v>
      </c>
      <c r="B73" s="161" t="s">
        <v>21</v>
      </c>
      <c r="C73" s="161"/>
      <c r="D73" s="355">
        <f>Input!$OA$15</f>
        <v>0</v>
      </c>
      <c r="E73" s="355">
        <f>Input!$OB$15</f>
        <v>238455</v>
      </c>
      <c r="F73" s="355">
        <f>Input!$OC$15</f>
        <v>0</v>
      </c>
      <c r="G73" s="355">
        <f>Input!$OD$15</f>
        <v>475064</v>
      </c>
      <c r="H73" s="355">
        <f>Input!$OE$15</f>
        <v>0</v>
      </c>
      <c r="I73" s="355">
        <f>Input!$OF$15</f>
        <v>0</v>
      </c>
      <c r="J73" s="355">
        <f>Input!$OG$15</f>
        <v>0</v>
      </c>
      <c r="K73" s="355">
        <f>Input!$OH$15</f>
        <v>0</v>
      </c>
      <c r="L73" s="355">
        <f>Input!$OI$15</f>
        <v>0</v>
      </c>
      <c r="M73" s="357">
        <f t="shared" si="12"/>
        <v>713519</v>
      </c>
      <c r="O73" s="322">
        <f>D73+E73+G73</f>
        <v>713519</v>
      </c>
      <c r="P73" s="317">
        <f>Input!$TS$15</f>
        <v>0</v>
      </c>
      <c r="Q73" s="323">
        <f>Input!$UC$15</f>
        <v>0</v>
      </c>
      <c r="R73" s="323">
        <f>Input!$UL$15</f>
        <v>0</v>
      </c>
      <c r="S73" s="324">
        <f>O73+P73-Q73-R73</f>
        <v>713519</v>
      </c>
      <c r="T73" s="325"/>
      <c r="U73" s="495">
        <f t="shared" si="15"/>
        <v>713519</v>
      </c>
      <c r="V73" s="325"/>
      <c r="W73" s="314" t="s">
        <v>21</v>
      </c>
      <c r="X73" s="363">
        <f>Input!$UW$15</f>
        <v>713519</v>
      </c>
      <c r="Y73" s="319">
        <f t="shared" si="13"/>
        <v>0</v>
      </c>
      <c r="Z73" s="320"/>
      <c r="AA73" s="320"/>
      <c r="AB73" s="320"/>
    </row>
    <row r="74" spans="1:28" s="149" customFormat="1" ht="13.5" thickTop="1">
      <c r="A74" s="147">
        <v>57</v>
      </c>
      <c r="B74" s="161" t="s">
        <v>1363</v>
      </c>
      <c r="C74" s="161"/>
      <c r="D74" s="355">
        <f>Input!$OJ$15</f>
        <v>0</v>
      </c>
      <c r="E74" s="355">
        <f>Input!$OK$15</f>
        <v>0</v>
      </c>
      <c r="F74" s="355">
        <f>Input!$OL$15</f>
        <v>216044</v>
      </c>
      <c r="G74" s="355">
        <f>Input!$OM$15</f>
        <v>0</v>
      </c>
      <c r="H74" s="355">
        <f>Input!$ON$15</f>
        <v>0</v>
      </c>
      <c r="I74" s="355">
        <f>Input!$OO$15</f>
        <v>0</v>
      </c>
      <c r="J74" s="355">
        <f>Input!$OP$15</f>
        <v>0</v>
      </c>
      <c r="K74" s="355">
        <f>Input!$OQ$15</f>
        <v>0</v>
      </c>
      <c r="L74" s="355">
        <f>Input!$OR$15</f>
        <v>0</v>
      </c>
      <c r="M74" s="357">
        <f t="shared" si="12"/>
        <v>216044</v>
      </c>
      <c r="O74" s="326"/>
      <c r="P74" s="858">
        <f>Input!$TT$15</f>
        <v>0</v>
      </c>
      <c r="Q74" s="327"/>
      <c r="R74" s="328"/>
      <c r="S74" s="329">
        <f>SUM(S65:S73)</f>
        <v>218595849</v>
      </c>
      <c r="T74" s="328"/>
      <c r="U74" s="495">
        <f t="shared" si="15"/>
        <v>216044</v>
      </c>
      <c r="V74" s="328"/>
      <c r="W74" s="314" t="s">
        <v>22</v>
      </c>
      <c r="X74" s="363">
        <f>Input!$UX$15</f>
        <v>216044</v>
      </c>
      <c r="Y74" s="319">
        <f t="shared" si="13"/>
        <v>0</v>
      </c>
      <c r="Z74" s="320"/>
      <c r="AA74" s="320"/>
      <c r="AB74" s="320"/>
    </row>
    <row r="75" spans="1:28" s="149" customFormat="1">
      <c r="A75" s="147">
        <v>58</v>
      </c>
      <c r="B75" s="162" t="s">
        <v>62</v>
      </c>
      <c r="C75" s="162"/>
      <c r="D75" s="355">
        <f>Input!$OS$15</f>
        <v>743788</v>
      </c>
      <c r="E75" s="355">
        <f>Input!$OT$15</f>
        <v>683596</v>
      </c>
      <c r="F75" s="355">
        <f>Input!$OU$15</f>
        <v>0</v>
      </c>
      <c r="G75" s="355">
        <f>Input!$OV$15</f>
        <v>87685</v>
      </c>
      <c r="H75" s="355">
        <f>Input!$OW$15</f>
        <v>0</v>
      </c>
      <c r="I75" s="355">
        <f>Input!$OX$15</f>
        <v>0</v>
      </c>
      <c r="J75" s="355">
        <f>Input!$OY$15</f>
        <v>0</v>
      </c>
      <c r="K75" s="355">
        <f>Input!$OZ$15</f>
        <v>0</v>
      </c>
      <c r="L75" s="355">
        <f>Input!$PA$15</f>
        <v>0</v>
      </c>
      <c r="M75" s="357">
        <f t="shared" si="12"/>
        <v>1515069</v>
      </c>
      <c r="O75" s="326"/>
      <c r="P75" s="326">
        <f>SUM(P65:P74)</f>
        <v>1515069</v>
      </c>
      <c r="Q75" s="327" t="s">
        <v>185</v>
      </c>
      <c r="R75" s="328"/>
      <c r="S75" s="330"/>
      <c r="T75" s="328"/>
      <c r="U75" s="495">
        <f t="shared" si="15"/>
        <v>1515069</v>
      </c>
      <c r="V75" s="328"/>
      <c r="W75" s="314" t="s">
        <v>186</v>
      </c>
      <c r="X75" s="331">
        <f>M93*-1</f>
        <v>10723262</v>
      </c>
      <c r="Y75" s="319">
        <f>X75+M93</f>
        <v>0</v>
      </c>
      <c r="Z75" s="332"/>
      <c r="AA75" s="332"/>
      <c r="AB75" s="332"/>
    </row>
    <row r="76" spans="1:28" s="149" customFormat="1" ht="13.5" thickBot="1">
      <c r="A76" s="147">
        <v>59</v>
      </c>
      <c r="B76" s="163" t="s">
        <v>42</v>
      </c>
      <c r="C76" s="163"/>
      <c r="D76" s="359">
        <f>Input!$PB$15</f>
        <v>0</v>
      </c>
      <c r="E76" s="359">
        <f>Input!$PC$15</f>
        <v>0</v>
      </c>
      <c r="F76" s="359">
        <f>Input!$PD$15</f>
        <v>0</v>
      </c>
      <c r="G76" s="359">
        <f>Input!$PE$15</f>
        <v>0</v>
      </c>
      <c r="H76" s="359">
        <f>Input!$PF$15</f>
        <v>0</v>
      </c>
      <c r="I76" s="359">
        <f>Input!$PG$15</f>
        <v>0</v>
      </c>
      <c r="J76" s="359">
        <f>Input!$PH$15</f>
        <v>0</v>
      </c>
      <c r="K76" s="359">
        <f>Input!$PI$15</f>
        <v>0</v>
      </c>
      <c r="L76" s="359">
        <f>Input!$PJ$15</f>
        <v>0</v>
      </c>
      <c r="M76" s="357">
        <f t="shared" si="12"/>
        <v>0</v>
      </c>
      <c r="O76" s="326"/>
      <c r="P76" s="484" t="str">
        <f>IF(P75&lt;&gt;M75,"Out of Balance","Balanced")</f>
        <v>Balanced</v>
      </c>
      <c r="Q76" s="1322" t="s">
        <v>187</v>
      </c>
      <c r="R76" s="1323"/>
      <c r="S76" s="412">
        <f>Input!$UM$15</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67457654</v>
      </c>
      <c r="E77" s="356">
        <f t="shared" si="17"/>
        <v>127135928</v>
      </c>
      <c r="F77" s="356">
        <f t="shared" si="17"/>
        <v>216044</v>
      </c>
      <c r="G77" s="356">
        <f t="shared" si="17"/>
        <v>24038951</v>
      </c>
      <c r="H77" s="356">
        <f t="shared" si="17"/>
        <v>2803</v>
      </c>
      <c r="I77" s="356">
        <f t="shared" si="17"/>
        <v>0</v>
      </c>
      <c r="J77" s="356">
        <f t="shared" si="17"/>
        <v>1485633</v>
      </c>
      <c r="K77" s="356">
        <f t="shared" si="17"/>
        <v>0</v>
      </c>
      <c r="L77" s="356">
        <f t="shared" si="17"/>
        <v>0</v>
      </c>
      <c r="M77" s="356">
        <f t="shared" si="12"/>
        <v>220337013</v>
      </c>
      <c r="O77" s="50"/>
      <c r="P77" s="326"/>
      <c r="Q77" s="334" t="s">
        <v>188</v>
      </c>
      <c r="R77" s="335"/>
      <c r="S77" s="413">
        <f>Input!$UN$15</f>
        <v>0</v>
      </c>
      <c r="T77" s="336"/>
      <c r="U77" s="497">
        <f>SUM(U65:U76)</f>
        <v>220334210</v>
      </c>
      <c r="V77" s="336"/>
      <c r="W77" s="336"/>
      <c r="X77" s="337">
        <f>SUM(X65:X76)</f>
        <v>229545206</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218595849</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Input!$PK$15</f>
        <v>0</v>
      </c>
      <c r="E80" s="355">
        <f>Input!$PL$15</f>
        <v>0</v>
      </c>
      <c r="F80" s="355">
        <f>Input!$PM$15</f>
        <v>0</v>
      </c>
      <c r="G80" s="355">
        <f>Input!$PN$15</f>
        <v>0</v>
      </c>
      <c r="H80" s="355">
        <f>Input!$PO$15</f>
        <v>0</v>
      </c>
      <c r="I80" s="355">
        <f>Input!$PP$15</f>
        <v>0</v>
      </c>
      <c r="J80" s="355">
        <f>Input!$PQ$15</f>
        <v>-27703730</v>
      </c>
      <c r="K80" s="355">
        <f>Input!$PR$15</f>
        <v>0</v>
      </c>
      <c r="L80" s="355">
        <f>Input!$PS$15</f>
        <v>0</v>
      </c>
      <c r="M80" s="357">
        <f>D80+E80+F80+G80+H80+I80+J80+K80+L80</f>
        <v>-27703730</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Input!$PT$15</f>
        <v>-2685331</v>
      </c>
      <c r="E81" s="355">
        <f>Input!$PU$15</f>
        <v>829369</v>
      </c>
      <c r="F81" s="355">
        <f>Input!$PV$15</f>
        <v>0</v>
      </c>
      <c r="G81" s="355">
        <f>Input!$PW$15</f>
        <v>787304</v>
      </c>
      <c r="H81" s="355">
        <f>Input!$PX$15</f>
        <v>0</v>
      </c>
      <c r="I81" s="355">
        <f>Input!$PY$15</f>
        <v>0</v>
      </c>
      <c r="J81" s="355">
        <f>Input!$PZ$15</f>
        <v>3194245</v>
      </c>
      <c r="K81" s="355">
        <f>Input!$QA$15</f>
        <v>0</v>
      </c>
      <c r="L81" s="355">
        <f>Input!$QB$15</f>
        <v>0</v>
      </c>
      <c r="M81" s="357">
        <f>D81+E81+F81+G81+H81+I81+J81+K81+L81</f>
        <v>2125587</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Input!$QC$15</f>
        <v>0</v>
      </c>
      <c r="E82" s="355">
        <f>Input!$QD$15</f>
        <v>0</v>
      </c>
      <c r="F82" s="355">
        <f>Input!$QE$15</f>
        <v>0</v>
      </c>
      <c r="G82" s="355">
        <f>Input!$QF$15</f>
        <v>0</v>
      </c>
      <c r="H82" s="355">
        <f>Input!$QG$15</f>
        <v>0</v>
      </c>
      <c r="I82" s="355">
        <f>Input!$QH$15</f>
        <v>0</v>
      </c>
      <c r="J82" s="355">
        <f>Input!$QI$15</f>
        <v>26692305</v>
      </c>
      <c r="K82" s="355">
        <f>Input!$QJ$15</f>
        <v>0</v>
      </c>
      <c r="L82" s="355">
        <f>Input!$QK$15</f>
        <v>0</v>
      </c>
      <c r="M82" s="357">
        <f>D82+E82+F82+G82+H82+I82+J82+K82+L82</f>
        <v>26692305</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Input!$QL$15</f>
        <v>-11103241</v>
      </c>
      <c r="E83" s="355">
        <f>Input!$QM$15</f>
        <v>0</v>
      </c>
      <c r="F83" s="355">
        <f>Input!$QN$15</f>
        <v>0</v>
      </c>
      <c r="G83" s="355">
        <f>Input!$QO$15</f>
        <v>0</v>
      </c>
      <c r="H83" s="355">
        <f>Input!$QP$15</f>
        <v>0</v>
      </c>
      <c r="I83" s="355">
        <f>Input!$QQ$15</f>
        <v>0</v>
      </c>
      <c r="J83" s="355">
        <f>Input!$QR$15</f>
        <v>-1406365</v>
      </c>
      <c r="K83" s="355">
        <f>Input!$QS$15</f>
        <v>0</v>
      </c>
      <c r="L83" s="355">
        <f>Input!$QT$15</f>
        <v>0</v>
      </c>
      <c r="M83" s="357">
        <f>D83+E83+F83+G83+H83+I83+J83+K83+L83</f>
        <v>-12509606</v>
      </c>
      <c r="O83" s="346"/>
      <c r="P83" s="458" t="s">
        <v>596</v>
      </c>
      <c r="Q83" s="459"/>
      <c r="R83" s="460"/>
      <c r="S83" s="461">
        <f>IF(M91&lt;0,"N/A",M91)</f>
        <v>27292721</v>
      </c>
      <c r="T83" s="326"/>
      <c r="U83" s="343"/>
      <c r="V83" s="305"/>
      <c r="W83" s="305"/>
      <c r="X83" s="343"/>
      <c r="Y83" s="343"/>
      <c r="Z83" s="305"/>
      <c r="AA83" s="305"/>
      <c r="AB83" s="305"/>
    </row>
    <row r="84" spans="1:28" s="149" customFormat="1">
      <c r="A84" s="147">
        <v>67</v>
      </c>
      <c r="B84" s="164" t="s">
        <v>3</v>
      </c>
      <c r="C84" s="164"/>
      <c r="D84" s="356">
        <f t="shared" ref="D84:L84" si="18">SUM(D80:D83)</f>
        <v>-13788572</v>
      </c>
      <c r="E84" s="356">
        <f t="shared" si="18"/>
        <v>829369</v>
      </c>
      <c r="F84" s="356">
        <f t="shared" si="18"/>
        <v>0</v>
      </c>
      <c r="G84" s="356">
        <f t="shared" si="18"/>
        <v>787304</v>
      </c>
      <c r="H84" s="356">
        <f t="shared" si="18"/>
        <v>0</v>
      </c>
      <c r="I84" s="356">
        <f t="shared" si="18"/>
        <v>0</v>
      </c>
      <c r="J84" s="356">
        <f t="shared" si="18"/>
        <v>776455</v>
      </c>
      <c r="K84" s="356">
        <f t="shared" si="18"/>
        <v>0</v>
      </c>
      <c r="L84" s="356">
        <f t="shared" si="18"/>
        <v>0</v>
      </c>
      <c r="M84" s="356">
        <f>D84+E84+F84+G84+H84+I84+J84+K84+L84</f>
        <v>-11395444</v>
      </c>
      <c r="O84" s="346"/>
      <c r="P84" s="462" t="s">
        <v>597</v>
      </c>
      <c r="Q84" s="347"/>
      <c r="R84" s="347"/>
      <c r="S84" s="492">
        <f>Input!$UY$15</f>
        <v>25096491</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2196230</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Input!$QU$15</f>
        <v>0</v>
      </c>
      <c r="E87" s="355">
        <f>Input!$QV$15</f>
        <v>-4220</v>
      </c>
      <c r="F87" s="355">
        <f>Input!$QW$15</f>
        <v>0</v>
      </c>
      <c r="G87" s="355">
        <f>Input!$QX$15</f>
        <v>0</v>
      </c>
      <c r="H87" s="355">
        <f>Input!$QY$15</f>
        <v>0</v>
      </c>
      <c r="I87" s="355">
        <f>Input!$QZ$15</f>
        <v>2199694</v>
      </c>
      <c r="J87" s="355">
        <f>Input!$RA$15</f>
        <v>0</v>
      </c>
      <c r="K87" s="355">
        <f>Input!$RB$15</f>
        <v>0</v>
      </c>
      <c r="L87" s="355">
        <f>Input!$RC$15</f>
        <v>0</v>
      </c>
      <c r="M87" s="357">
        <f>D87+E87+F87+G87+H87+I87+J87+K87+L87</f>
        <v>2195474</v>
      </c>
      <c r="O87" s="51"/>
      <c r="P87" s="467" t="s">
        <v>599</v>
      </c>
      <c r="Q87" s="305"/>
      <c r="R87" s="347"/>
      <c r="S87" s="463">
        <f>Input!$UZ$15</f>
        <v>2195474</v>
      </c>
      <c r="T87" s="50"/>
      <c r="U87" s="50"/>
      <c r="V87" s="50"/>
      <c r="W87" s="305"/>
      <c r="X87" s="343"/>
      <c r="Y87" s="343"/>
      <c r="Z87" s="305"/>
      <c r="AA87" s="305"/>
      <c r="AB87" s="305"/>
    </row>
    <row r="88" spans="1:28" s="149" customFormat="1">
      <c r="A88" s="147">
        <v>71</v>
      </c>
      <c r="B88" s="149" t="s">
        <v>45</v>
      </c>
      <c r="D88" s="355">
        <f>Input!$RD$15</f>
        <v>0</v>
      </c>
      <c r="E88" s="355">
        <f>Input!$RE$15</f>
        <v>0</v>
      </c>
      <c r="F88" s="355">
        <f>Input!$RF$15</f>
        <v>0</v>
      </c>
      <c r="G88" s="355">
        <f>Input!$RG$15</f>
        <v>0</v>
      </c>
      <c r="H88" s="355">
        <f>Input!$RH$15</f>
        <v>0</v>
      </c>
      <c r="I88" s="355">
        <f>Input!$RI$15</f>
        <v>756</v>
      </c>
      <c r="J88" s="355">
        <f>Input!$RJ$15</f>
        <v>0</v>
      </c>
      <c r="K88" s="355">
        <f>Input!$RK$15</f>
        <v>0</v>
      </c>
      <c r="L88" s="355">
        <f>Input!$RL$15</f>
        <v>0</v>
      </c>
      <c r="M88" s="357">
        <f>D88+E88+F88+G88+H88+I88+J88+K88+L88</f>
        <v>756</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-4220</v>
      </c>
      <c r="F89" s="356">
        <f t="shared" si="19"/>
        <v>0</v>
      </c>
      <c r="G89" s="356">
        <f t="shared" si="19"/>
        <v>0</v>
      </c>
      <c r="H89" s="356">
        <f t="shared" si="19"/>
        <v>0</v>
      </c>
      <c r="I89" s="356">
        <f t="shared" si="19"/>
        <v>2200450</v>
      </c>
      <c r="J89" s="356">
        <f t="shared" si="19"/>
        <v>0</v>
      </c>
      <c r="K89" s="356">
        <f t="shared" si="19"/>
        <v>0</v>
      </c>
      <c r="L89" s="356">
        <f t="shared" si="19"/>
        <v>0</v>
      </c>
      <c r="M89" s="356">
        <f>D89+E89+F89+G89+H89+I89+J89+K89+L89</f>
        <v>2196230</v>
      </c>
      <c r="O89" s="51"/>
      <c r="P89" s="470" t="s">
        <v>601</v>
      </c>
      <c r="Q89" s="305"/>
      <c r="R89" s="305"/>
      <c r="S89" s="464">
        <f>IFERROR(S85-S87,"")</f>
        <v>756</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5150621</v>
      </c>
      <c r="E91" s="356">
        <f t="shared" si="20"/>
        <v>21050174</v>
      </c>
      <c r="F91" s="356">
        <f t="shared" si="20"/>
        <v>67723</v>
      </c>
      <c r="G91" s="356">
        <f t="shared" si="20"/>
        <v>587779</v>
      </c>
      <c r="H91" s="356">
        <f t="shared" si="20"/>
        <v>3816</v>
      </c>
      <c r="I91" s="356">
        <f t="shared" si="20"/>
        <v>1450878</v>
      </c>
      <c r="J91" s="356">
        <f t="shared" si="20"/>
        <v>-904121</v>
      </c>
      <c r="K91" s="356">
        <f t="shared" si="20"/>
        <v>0</v>
      </c>
      <c r="L91" s="356">
        <f>L63-L77+L84+L89</f>
        <v>-114149</v>
      </c>
      <c r="M91" s="356">
        <f>D91+E91+F91+G91+H91+I91+J91+K91+L91</f>
        <v>27292721</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Input!$RM$15</f>
        <v>0</v>
      </c>
      <c r="E93" s="355">
        <f>Input!$RN$15</f>
        <v>0</v>
      </c>
      <c r="F93" s="355">
        <f>Input!$RO$15</f>
        <v>0</v>
      </c>
      <c r="G93" s="355">
        <f>Input!$RP$15</f>
        <v>0</v>
      </c>
      <c r="H93" s="355">
        <f>Input!$RQ$15</f>
        <v>0</v>
      </c>
      <c r="I93" s="355">
        <f>Input!$RR$15</f>
        <v>0</v>
      </c>
      <c r="J93" s="355">
        <f>Input!$RS$15</f>
        <v>0</v>
      </c>
      <c r="K93" s="355">
        <f>Input!$RT$15</f>
        <v>0</v>
      </c>
      <c r="L93" s="355">
        <f>Input!$RU$15</f>
        <v>-10723262</v>
      </c>
      <c r="M93" s="357">
        <f>D93+E93+F93+G93+H93+I93+J93+K93+L93</f>
        <v>-10723262</v>
      </c>
      <c r="O93" s="299"/>
      <c r="P93" s="50"/>
      <c r="Q93" s="50"/>
      <c r="R93" s="50"/>
      <c r="S93" s="50"/>
      <c r="T93" s="50"/>
      <c r="U93" s="50"/>
      <c r="V93" s="50"/>
      <c r="W93" s="50"/>
      <c r="X93" s="50"/>
      <c r="Y93" s="50"/>
      <c r="Z93" s="50"/>
      <c r="AA93" s="50"/>
      <c r="AB93" s="50"/>
    </row>
    <row r="94" spans="1:28" s="149" customFormat="1">
      <c r="A94" s="147">
        <v>78</v>
      </c>
      <c r="B94" s="51" t="s">
        <v>94</v>
      </c>
      <c r="C94" s="51"/>
      <c r="D94" s="355">
        <f>Input!$RV$15</f>
        <v>0</v>
      </c>
      <c r="E94" s="355">
        <f>Input!$RW$15</f>
        <v>0</v>
      </c>
      <c r="F94" s="355">
        <f>Input!$RX$15</f>
        <v>0</v>
      </c>
      <c r="G94" s="355">
        <f>Input!$RY$15</f>
        <v>0</v>
      </c>
      <c r="H94" s="355">
        <f>Input!$RZ$15</f>
        <v>0</v>
      </c>
      <c r="I94" s="355">
        <f>Input!$SA$15</f>
        <v>0</v>
      </c>
      <c r="J94" s="355">
        <f>Input!$SB$15</f>
        <v>0</v>
      </c>
      <c r="K94" s="355">
        <f>Input!$SC$15</f>
        <v>-38816</v>
      </c>
      <c r="L94" s="355">
        <f>Input!$SD$15</f>
        <v>0</v>
      </c>
      <c r="M94" s="357">
        <f>D94+E94+F94+G94+H94+I94+J94+K94+L94</f>
        <v>-38816</v>
      </c>
      <c r="O94" s="348"/>
      <c r="P94" s="349"/>
      <c r="Q94" s="50"/>
      <c r="R94" s="50"/>
      <c r="S94" s="50"/>
      <c r="T94" s="50"/>
      <c r="U94" s="50"/>
      <c r="V94" s="50"/>
      <c r="W94" s="50"/>
      <c r="X94" s="50"/>
      <c r="Y94" s="50"/>
      <c r="Z94" s="50"/>
      <c r="AA94" s="50"/>
      <c r="AB94" s="50"/>
    </row>
    <row r="95" spans="1:28" s="149" customFormat="1">
      <c r="A95" s="147"/>
      <c r="B95" s="51" t="s">
        <v>103</v>
      </c>
      <c r="C95" s="51"/>
      <c r="D95" s="355">
        <f>Input!$SE$15</f>
        <v>0</v>
      </c>
      <c r="E95" s="355">
        <f>Input!$SF$15</f>
        <v>0</v>
      </c>
      <c r="F95" s="355">
        <f>Input!$SG$15</f>
        <v>0</v>
      </c>
      <c r="G95" s="355">
        <f>Input!$SH$15</f>
        <v>0</v>
      </c>
      <c r="H95" s="355">
        <f>Input!$SI$15</f>
        <v>0</v>
      </c>
      <c r="I95" s="355">
        <f>Input!$SJ$15</f>
        <v>0</v>
      </c>
      <c r="J95" s="355">
        <f>Input!$SK$15</f>
        <v>0</v>
      </c>
      <c r="K95" s="355">
        <f>Input!$SL$15</f>
        <v>0</v>
      </c>
      <c r="L95" s="355">
        <f>Input!$SM$15</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Input!$SN$15</f>
        <v>0</v>
      </c>
      <c r="E96" s="355">
        <f>Input!$SO$15</f>
        <v>0</v>
      </c>
      <c r="F96" s="355">
        <f>Input!$SP$15</f>
        <v>0</v>
      </c>
      <c r="G96" s="355">
        <f>Input!$SQ$15</f>
        <v>0</v>
      </c>
      <c r="H96" s="355">
        <f>Input!$SR$15</f>
        <v>0</v>
      </c>
      <c r="I96" s="355">
        <f>Input!$SS$15</f>
        <v>0</v>
      </c>
      <c r="J96" s="355">
        <f>Input!$ST$15</f>
        <v>0</v>
      </c>
      <c r="K96" s="355">
        <f>Input!$SU$15</f>
        <v>0</v>
      </c>
      <c r="L96" s="355">
        <f>Input!$SV$15</f>
        <v>39388</v>
      </c>
      <c r="M96" s="357">
        <f>D96+E96+F96+G96+H96+I96+J96+K96+L96</f>
        <v>39388</v>
      </c>
      <c r="O96" s="348"/>
      <c r="P96" s="50"/>
      <c r="Q96" s="50"/>
      <c r="R96" s="50"/>
      <c r="S96" s="50"/>
      <c r="T96" s="157"/>
      <c r="U96" s="157"/>
      <c r="V96" s="157"/>
      <c r="W96" s="157"/>
      <c r="X96" s="157"/>
      <c r="Y96" s="50"/>
      <c r="Z96" s="50"/>
      <c r="AA96" s="50"/>
      <c r="AB96" s="50"/>
    </row>
    <row r="97" spans="1:28" s="149" customFormat="1">
      <c r="A97" s="147">
        <v>79</v>
      </c>
      <c r="B97" s="51" t="s">
        <v>70</v>
      </c>
      <c r="C97" s="51"/>
      <c r="D97" s="355">
        <f>Input!$SW$15</f>
        <v>743788</v>
      </c>
      <c r="E97" s="355">
        <f>Input!$SX$15</f>
        <v>683595</v>
      </c>
      <c r="F97" s="355">
        <f>Input!$SY$15</f>
        <v>0</v>
      </c>
      <c r="G97" s="355">
        <f>Input!$SZ$15</f>
        <v>87685</v>
      </c>
      <c r="H97" s="355">
        <f>Input!$TA$15</f>
        <v>0</v>
      </c>
      <c r="I97" s="355">
        <f>Input!$TB$15</f>
        <v>0</v>
      </c>
      <c r="J97" s="355">
        <f>Input!$TC$15</f>
        <v>27703730</v>
      </c>
      <c r="K97" s="355">
        <f>Input!$TD$15</f>
        <v>0</v>
      </c>
      <c r="L97" s="355">
        <f>Input!$TE$15</f>
        <v>0</v>
      </c>
      <c r="M97" s="357">
        <f>D97+E97+F97+G97+H97+I97+J97+K97+L97</f>
        <v>29218798</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5894409</v>
      </c>
      <c r="E98" s="360">
        <f t="shared" si="21"/>
        <v>21733769</v>
      </c>
      <c r="F98" s="360">
        <f t="shared" si="21"/>
        <v>67723</v>
      </c>
      <c r="G98" s="360">
        <f t="shared" si="21"/>
        <v>675464</v>
      </c>
      <c r="H98" s="360">
        <f t="shared" si="21"/>
        <v>3816</v>
      </c>
      <c r="I98" s="360">
        <f t="shared" si="21"/>
        <v>1450878</v>
      </c>
      <c r="J98" s="360">
        <f t="shared" si="21"/>
        <v>26799609</v>
      </c>
      <c r="K98" s="360">
        <f t="shared" si="21"/>
        <v>-38816</v>
      </c>
      <c r="L98" s="360">
        <f t="shared" si="21"/>
        <v>-10798023</v>
      </c>
      <c r="M98" s="360">
        <f>SUM(M91:M97)</f>
        <v>45788829</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3" t="str">
        <f>Input!$VC$15</f>
        <v>Sandra Tapia</v>
      </c>
      <c r="Q103" s="1334"/>
      <c r="R103" s="1333" t="str">
        <f>Input!$VD$15</f>
        <v>915-215-4790</v>
      </c>
      <c r="S103" s="1334"/>
      <c r="T103" s="305"/>
      <c r="U103" s="1335" t="str">
        <f>HYPERLINK("Mailto:"&amp;Input!$VE$15,Input!$VE$15)</f>
        <v>Sandra.tapia@ttuhsc.edu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Input!$TF$15</f>
        <v>45788829</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IF($L$123&lt;&gt;Input!$F$15,"Out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140558672</v>
      </c>
      <c r="E110" s="357">
        <f>SUM($E$10:$E$14)+SUM($E$19:$E$28)+SUM($E$50)+$E$53+SUM($E$56:$E$61)+SUM($E$65:$E$76)+SUM($E$80:$E$83)+SUM($E$87:$E$88)+SUM($E$93:$E$97)+SUM($E$32:$E$41)+$E$47</f>
        <v>276005625</v>
      </c>
      <c r="F110" s="357">
        <f>SUM($F$10:$F$14)+SUM($F$19:$F$28)+SUM($F$50)+$F$53+SUM($F$56:$F$61)+SUM($F$65:$F$76)+SUM($F$80:$F$83)+SUM($F$87:$F$88)+SUM($F$93:$F$97)+SUM($F$32:$F$41)+$F$47</f>
        <v>499811</v>
      </c>
      <c r="G110" s="357">
        <f>SUM($G$10:$G$14)+SUM($G$19:$G$28)+SUM($G$50)+$G$53+SUM($G$56:$G$61)+SUM($G$65:$G$76)+SUM($G$80:$G$83)+SUM($G$87:$G$88)+SUM($G$93:$G$97)+SUM($G$32:$G$41)+$G$47</f>
        <v>48753366</v>
      </c>
      <c r="H110" s="357">
        <f>SUM($H$10:$H$14)+SUM($H$19:$H$28)+SUM($H$50)+$H$53+SUM($H$56:$H$61)+SUM($H$65:$H$76)+SUM($H$80:$H$83)+SUM($H$87:$H$88)+SUM($H$93:$H$97)+SUM($H$32:$H$41)+$H$47</f>
        <v>9422</v>
      </c>
      <c r="I110" s="357">
        <f>SUM($I$10:$I$14)+SUM($I$19:$I$28)+SUM($I$50)+$I$53+SUM($I$56:$I$61)+SUM($I$65:$I$76)+SUM($I$80:$I$83)+SUM($I$87:$I$88)+SUM($I$93:$I$97)+SUM($I$32:$I$41)+$I$47</f>
        <v>1450878</v>
      </c>
      <c r="J110" s="357">
        <f>SUM($J$10:$J$14)+SUM($J$19:$J$28)+SUM($J$50)+$J$53+SUM($J$56:$J$61)+SUM($J$65:$J$76)+SUM($J$80:$J$83)+SUM($J$87:$J$88)+SUM($J$93:$J$97)+SUM($J$32:$J$41)+$J$47</f>
        <v>29770875</v>
      </c>
      <c r="K110" s="357">
        <f>SUM($K$10:$K$14)+SUM($K$19:$K$28)+SUM($K$50)+$K$53+SUM($K$56:$K$61)+SUM($K$65:$K$76)+SUM($K$80:$K$83)+SUM($K$87:$K$88)+SUM($K$93:$K$97)+SUM($K$32:$K$41)+$K$47</f>
        <v>-38816</v>
      </c>
      <c r="L110" s="357">
        <f>SUM($L$10:$L$14)+SUM($L$19:$L$28)+SUM($L$50)+$L$53+SUM($L$56:$L$61)+SUM($L$65:$L$76)+SUM($L$80:$L$83)+SUM($L$87:$L$88)+SUM($L$93:$L$97)+SUM($L$32:$L$41)+$L$47</f>
        <v>-10798023</v>
      </c>
      <c r="M110" s="166"/>
      <c r="N110" s="166"/>
      <c r="O110" s="166"/>
    </row>
    <row r="111" spans="1:28" s="50" customFormat="1">
      <c r="A111" s="293"/>
      <c r="B111" s="51"/>
      <c r="C111" s="51"/>
      <c r="D111" s="51"/>
      <c r="E111" s="51"/>
      <c r="F111" s="51"/>
      <c r="G111" s="51"/>
      <c r="H111" s="51"/>
      <c r="I111" s="51"/>
      <c r="J111" s="51"/>
      <c r="K111" s="51"/>
      <c r="L111" s="357">
        <f>SUM($D$110:$L$110)</f>
        <v>486211810</v>
      </c>
      <c r="M111" s="166"/>
      <c r="N111" s="166"/>
      <c r="O111" s="166"/>
    </row>
    <row r="112" spans="1:28" s="50" customFormat="1">
      <c r="A112" s="293"/>
      <c r="B112" s="51"/>
      <c r="C112" s="51"/>
      <c r="D112" s="51"/>
      <c r="E112" s="51"/>
      <c r="F112" s="51"/>
      <c r="G112" s="51"/>
      <c r="H112" s="51"/>
      <c r="I112" s="51"/>
      <c r="J112" s="51" t="s">
        <v>1249</v>
      </c>
      <c r="K112" s="51"/>
      <c r="L112" s="357">
        <f>$M$105</f>
        <v>45788829</v>
      </c>
      <c r="M112" s="166"/>
      <c r="N112" s="166"/>
      <c r="O112" s="166"/>
    </row>
    <row r="113" spans="1:15" s="50" customFormat="1">
      <c r="A113" s="293"/>
      <c r="B113" s="51"/>
      <c r="C113" s="51"/>
      <c r="D113" s="51"/>
      <c r="E113" s="51"/>
      <c r="F113" s="51"/>
      <c r="G113" s="51"/>
      <c r="H113" s="51"/>
      <c r="I113" s="51"/>
      <c r="J113" s="51" t="s">
        <v>1250</v>
      </c>
      <c r="K113" s="51"/>
      <c r="L113" s="143">
        <f>$Q$32</f>
        <v>10810355</v>
      </c>
      <c r="M113" s="166"/>
      <c r="N113" s="166"/>
      <c r="O113" s="166"/>
    </row>
    <row r="114" spans="1:15" s="50" customFormat="1">
      <c r="A114" s="293"/>
      <c r="B114" s="51"/>
      <c r="C114" s="51"/>
      <c r="D114" s="51"/>
      <c r="E114" s="51"/>
      <c r="F114" s="51"/>
      <c r="G114" s="51"/>
      <c r="H114" s="51"/>
      <c r="I114" s="51"/>
      <c r="J114" s="51" t="s">
        <v>1250</v>
      </c>
      <c r="K114" s="51"/>
      <c r="L114" s="143">
        <f>$R$34</f>
        <v>-1818785</v>
      </c>
      <c r="M114" s="166"/>
      <c r="N114" s="166"/>
      <c r="O114" s="166"/>
    </row>
    <row r="115" spans="1:15" s="50" customFormat="1">
      <c r="A115" s="293"/>
      <c r="B115" s="51"/>
      <c r="C115" s="51"/>
      <c r="D115" s="51"/>
      <c r="E115" s="51"/>
      <c r="F115" s="51"/>
      <c r="G115" s="51"/>
      <c r="H115" s="51"/>
      <c r="I115" s="51"/>
      <c r="J115" s="51" t="s">
        <v>27</v>
      </c>
      <c r="K115" s="51"/>
      <c r="L115" s="143">
        <f>SUM($P$65:$P$74)</f>
        <v>1515069</v>
      </c>
      <c r="M115" s="166"/>
      <c r="N115" s="166"/>
      <c r="O115" s="166"/>
    </row>
    <row r="116" spans="1:15" s="50" customFormat="1">
      <c r="A116" s="293"/>
      <c r="B116" s="51"/>
      <c r="C116" s="51"/>
      <c r="D116" s="51"/>
      <c r="E116" s="51"/>
      <c r="F116" s="51"/>
      <c r="G116" s="51"/>
      <c r="H116" s="51"/>
      <c r="I116" s="51"/>
      <c r="J116" s="51" t="s">
        <v>1009</v>
      </c>
      <c r="K116" s="51"/>
      <c r="L116" s="143">
        <f>$S$76+$S$77</f>
        <v>0</v>
      </c>
      <c r="M116" s="166"/>
      <c r="N116" s="166"/>
      <c r="O116" s="166"/>
    </row>
    <row r="117" spans="1:15" s="50" customFormat="1">
      <c r="A117" s="293"/>
      <c r="B117" s="51"/>
      <c r="C117" s="51"/>
      <c r="D117" s="51"/>
      <c r="E117" s="51"/>
      <c r="F117" s="51"/>
      <c r="G117" s="51"/>
      <c r="H117" s="51"/>
      <c r="I117" s="51"/>
      <c r="J117" s="51" t="s">
        <v>607</v>
      </c>
      <c r="K117" s="51"/>
      <c r="L117" s="143">
        <f>SUM($Q$65:$Q$73)</f>
        <v>0</v>
      </c>
      <c r="M117" s="166"/>
      <c r="N117" s="166"/>
      <c r="O117" s="166"/>
    </row>
    <row r="118" spans="1:15" s="50" customFormat="1">
      <c r="A118" s="293"/>
      <c r="B118" s="51"/>
      <c r="C118" s="51"/>
      <c r="D118" s="51"/>
      <c r="E118" s="51"/>
      <c r="F118" s="51"/>
      <c r="G118" s="51"/>
      <c r="H118" s="51"/>
      <c r="I118" s="51"/>
      <c r="J118" s="51" t="s">
        <v>608</v>
      </c>
      <c r="K118" s="51"/>
      <c r="L118" s="143">
        <f>SUM($R$65:$R$73)</f>
        <v>36684</v>
      </c>
      <c r="M118" s="166"/>
      <c r="N118" s="166"/>
      <c r="O118" s="166"/>
    </row>
    <row r="119" spans="1:15" s="50" customFormat="1">
      <c r="A119" s="293"/>
      <c r="B119" s="51"/>
      <c r="C119" s="51"/>
      <c r="D119" s="51"/>
      <c r="E119" s="51"/>
      <c r="F119" s="51"/>
      <c r="G119" s="51"/>
      <c r="H119" s="51"/>
      <c r="I119" s="51"/>
      <c r="J119" s="51" t="s">
        <v>182</v>
      </c>
      <c r="K119" s="51"/>
      <c r="L119" s="143">
        <f>SUM($X$65:$X$74)</f>
        <v>218821944</v>
      </c>
      <c r="M119" s="166"/>
      <c r="N119" s="166"/>
      <c r="O119" s="166"/>
    </row>
    <row r="120" spans="1:15" s="50" customFormat="1">
      <c r="A120" s="293"/>
      <c r="B120" s="51"/>
      <c r="C120" s="51"/>
      <c r="D120" s="51"/>
      <c r="E120" s="51"/>
      <c r="F120" s="51"/>
      <c r="G120" s="51"/>
      <c r="H120" s="51"/>
      <c r="I120" s="51"/>
      <c r="J120" s="51" t="s">
        <v>609</v>
      </c>
      <c r="K120" s="51"/>
      <c r="L120" s="143">
        <f>$S$84</f>
        <v>25096491</v>
      </c>
      <c r="M120" s="166"/>
      <c r="N120" s="166"/>
      <c r="O120" s="166"/>
    </row>
    <row r="121" spans="1:15" s="50" customFormat="1">
      <c r="A121" s="293"/>
      <c r="B121" s="51"/>
      <c r="C121" s="51"/>
      <c r="D121" s="51"/>
      <c r="E121" s="51"/>
      <c r="F121" s="51"/>
      <c r="G121" s="51"/>
      <c r="H121" s="51"/>
      <c r="I121" s="51"/>
      <c r="J121" s="51" t="s">
        <v>609</v>
      </c>
      <c r="K121" s="51"/>
      <c r="L121" s="143">
        <f>$S$87</f>
        <v>2195474</v>
      </c>
      <c r="M121" s="166"/>
      <c r="N121" s="166"/>
      <c r="O121" s="166"/>
    </row>
    <row r="122" spans="1:15" s="50" customFormat="1">
      <c r="A122" s="293"/>
      <c r="B122" s="51"/>
      <c r="C122" s="51"/>
      <c r="D122" s="51"/>
      <c r="E122" s="51"/>
      <c r="F122" s="51"/>
      <c r="G122" s="51"/>
      <c r="H122" s="51"/>
      <c r="I122" s="51"/>
      <c r="J122" s="51" t="s">
        <v>1255</v>
      </c>
      <c r="K122" s="51"/>
      <c r="L122" s="935">
        <f>VLOOKUP(B2,Names!$B$10:$C$88,2,FALSE)</f>
        <v>862</v>
      </c>
      <c r="M122" s="166"/>
      <c r="N122" s="166"/>
      <c r="O122" s="166"/>
    </row>
    <row r="123" spans="1:15" s="50" customFormat="1">
      <c r="A123" s="293"/>
      <c r="B123" s="51"/>
      <c r="C123" s="51"/>
      <c r="D123" s="51"/>
      <c r="E123" s="51"/>
      <c r="F123" s="51"/>
      <c r="G123" s="51"/>
      <c r="H123" s="51"/>
      <c r="I123" s="51"/>
      <c r="J123" s="51"/>
      <c r="K123" s="51"/>
      <c r="L123" s="486">
        <f>SUM($L$111:$L$122)</f>
        <v>788658733</v>
      </c>
      <c r="M123" s="166"/>
      <c r="N123" s="166"/>
      <c r="O123" s="166"/>
    </row>
    <row r="124" spans="1:15">
      <c r="O124" s="166"/>
    </row>
  </sheetData>
  <mergeCells count="27">
    <mergeCell ref="P100:V100"/>
    <mergeCell ref="P103:Q103"/>
    <mergeCell ref="R103:S103"/>
    <mergeCell ref="U103:V103"/>
    <mergeCell ref="P105:V106"/>
    <mergeCell ref="W61:W64"/>
    <mergeCell ref="X61:X64"/>
    <mergeCell ref="Y61:Y64"/>
    <mergeCell ref="G64:K64"/>
    <mergeCell ref="Q76:R76"/>
    <mergeCell ref="U61:U64"/>
    <mergeCell ref="P82:S82"/>
    <mergeCell ref="O61:O64"/>
    <mergeCell ref="P61:P64"/>
    <mergeCell ref="Q61:Q64"/>
    <mergeCell ref="R61:R64"/>
    <mergeCell ref="S61:S64"/>
    <mergeCell ref="O19:S19"/>
    <mergeCell ref="U19:Y19"/>
    <mergeCell ref="O60:S60"/>
    <mergeCell ref="W60:Y60"/>
    <mergeCell ref="P10:P11"/>
    <mergeCell ref="B2:F2"/>
    <mergeCell ref="B3:F3"/>
    <mergeCell ref="B4:F4"/>
    <mergeCell ref="P4:Q4"/>
    <mergeCell ref="B6:M6"/>
  </mergeCells>
  <conditionalFormatting sqref="D99:M99 D98:L98">
    <cfRule type="cellIs" dxfId="181" priority="67" stopIfTrue="1" operator="notEqual">
      <formula>#REF!</formula>
    </cfRule>
  </conditionalFormatting>
  <conditionalFormatting sqref="M77">
    <cfRule type="cellIs" dxfId="180" priority="66" stopIfTrue="1" operator="notEqual">
      <formula>SUM($M$65:$M$76)</formula>
    </cfRule>
  </conditionalFormatting>
  <conditionalFormatting sqref="M89">
    <cfRule type="cellIs" dxfId="179" priority="65" stopIfTrue="1" operator="notEqual">
      <formula>SUM($M$87:$M$88)</formula>
    </cfRule>
  </conditionalFormatting>
  <conditionalFormatting sqref="M84">
    <cfRule type="cellIs" dxfId="178" priority="64" stopIfTrue="1" operator="notEqual">
      <formula>SUM($M$80:$M$83)</formula>
    </cfRule>
  </conditionalFormatting>
  <conditionalFormatting sqref="M62">
    <cfRule type="cellIs" dxfId="177" priority="63" stopIfTrue="1" operator="notEqual">
      <formula>SUM($M$56:$M$61)</formula>
    </cfRule>
  </conditionalFormatting>
  <conditionalFormatting sqref="M15">
    <cfRule type="cellIs" dxfId="176" priority="62" stopIfTrue="1" operator="notEqual">
      <formula>SUM($M$10:$M$14)</formula>
    </cfRule>
  </conditionalFormatting>
  <conditionalFormatting sqref="R99:S102 X95:AB102 U93:W100 T95:T102 O93:O100 P94:P101 Q93:Q100 S95:S98 R95:R97 D98:L98">
    <cfRule type="cellIs" dxfId="175" priority="61" stopIfTrue="1" operator="notEqual">
      <formula>#REF!</formula>
    </cfRule>
  </conditionalFormatting>
  <conditionalFormatting sqref="G64:K64">
    <cfRule type="expression" dxfId="174" priority="59">
      <formula>$R$98&lt;&gt;0</formula>
    </cfRule>
    <cfRule type="expression" dxfId="173" priority="60">
      <formula>$T$93&gt;0</formula>
    </cfRule>
  </conditionalFormatting>
  <conditionalFormatting sqref="O11:P11">
    <cfRule type="expression" dxfId="172" priority="58">
      <formula>#REF!&lt;&gt;$N$11</formula>
    </cfRule>
  </conditionalFormatting>
  <conditionalFormatting sqref="O13">
    <cfRule type="expression" dxfId="171" priority="57">
      <formula>$P$13&lt;&gt;$M$13</formula>
    </cfRule>
  </conditionalFormatting>
  <conditionalFormatting sqref="O12">
    <cfRule type="expression" dxfId="170" priority="56">
      <formula>$P$12&lt;&gt;$M$12</formula>
    </cfRule>
  </conditionalFormatting>
  <conditionalFormatting sqref="S91">
    <cfRule type="expression" priority="54" stopIfTrue="1">
      <formula>$N$91&lt;0</formula>
    </cfRule>
    <cfRule type="expression" dxfId="169" priority="55">
      <formula>$T$91&lt;&gt;0</formula>
    </cfRule>
  </conditionalFormatting>
  <conditionalFormatting sqref="S84 S87">
    <cfRule type="expression" dxfId="168" priority="52" stopIfTrue="1">
      <formula>$N$91&gt;=0</formula>
    </cfRule>
    <cfRule type="expression" priority="53">
      <formula>$N$91&lt;0</formula>
    </cfRule>
  </conditionalFormatting>
  <conditionalFormatting sqref="U100:V100 R102 U101 P100:P101 Q100:R100 S100:T102 S105:U106">
    <cfRule type="cellIs" dxfId="167" priority="51" stopIfTrue="1" operator="notEqual">
      <formula>#REF!</formula>
    </cfRule>
  </conditionalFormatting>
  <conditionalFormatting sqref="P76">
    <cfRule type="expression" dxfId="166" priority="50">
      <formula>$P$75&lt;&gt;$M$75</formula>
    </cfRule>
  </conditionalFormatting>
  <conditionalFormatting sqref="Y78">
    <cfRule type="expression" dxfId="165" priority="49">
      <formula>$Y$77&lt;&gt;0</formula>
    </cfRule>
  </conditionalFormatting>
  <conditionalFormatting sqref="Q36">
    <cfRule type="expression" dxfId="164" priority="48">
      <formula>#REF!&lt;&gt;#REF!</formula>
    </cfRule>
  </conditionalFormatting>
  <conditionalFormatting sqref="R35">
    <cfRule type="expression" dxfId="163" priority="47">
      <formula>#REF!&lt;&gt;0</formula>
    </cfRule>
  </conditionalFormatting>
  <conditionalFormatting sqref="Q35">
    <cfRule type="expression" dxfId="162" priority="46">
      <formula>#REF!&lt;&gt;0</formula>
    </cfRule>
  </conditionalFormatting>
  <conditionalFormatting sqref="R36">
    <cfRule type="expression" dxfId="161" priority="45">
      <formula>#REF!&lt;&gt;#REF!</formula>
    </cfRule>
  </conditionalFormatting>
  <conditionalFormatting sqref="D99:M99 D98:L98">
    <cfRule type="cellIs" dxfId="160" priority="44" stopIfTrue="1" operator="notEqual">
      <formula>#REF!</formula>
    </cfRule>
  </conditionalFormatting>
  <conditionalFormatting sqref="M77">
    <cfRule type="cellIs" dxfId="159" priority="43" stopIfTrue="1" operator="notEqual">
      <formula>SUM($M$65:$M$76)</formula>
    </cfRule>
  </conditionalFormatting>
  <conditionalFormatting sqref="M89">
    <cfRule type="cellIs" dxfId="158" priority="42" stopIfTrue="1" operator="notEqual">
      <formula>SUM($M$87:$M$88)</formula>
    </cfRule>
  </conditionalFormatting>
  <conditionalFormatting sqref="M84">
    <cfRule type="cellIs" dxfId="157" priority="41" stopIfTrue="1" operator="notEqual">
      <formula>SUM($M$80:$M$83)</formula>
    </cfRule>
  </conditionalFormatting>
  <conditionalFormatting sqref="M62">
    <cfRule type="cellIs" dxfId="156" priority="40" stopIfTrue="1" operator="notEqual">
      <formula>SUM($M$56:$M$61)</formula>
    </cfRule>
  </conditionalFormatting>
  <conditionalFormatting sqref="M15">
    <cfRule type="cellIs" dxfId="155" priority="39" stopIfTrue="1" operator="notEqual">
      <formula>SUM($M$10:$M$14)</formula>
    </cfRule>
  </conditionalFormatting>
  <conditionalFormatting sqref="R99:S102 X95:AB102 U93:W100 T95:T102 O93:O100 P94:P101 Q93:Q100 S95:S98 R95:R97 D99:M99 D98:L98">
    <cfRule type="cellIs" dxfId="154" priority="38" stopIfTrue="1" operator="notEqual">
      <formula>#REF!</formula>
    </cfRule>
  </conditionalFormatting>
  <conditionalFormatting sqref="G64:K64">
    <cfRule type="expression" dxfId="153" priority="36">
      <formula>$R$98&lt;&gt;0</formula>
    </cfRule>
    <cfRule type="expression" dxfId="152" priority="37">
      <formula>$T$93&gt;0</formula>
    </cfRule>
  </conditionalFormatting>
  <conditionalFormatting sqref="O11:P11">
    <cfRule type="expression" dxfId="151" priority="35">
      <formula>#REF!&lt;&gt;$N$11</formula>
    </cfRule>
  </conditionalFormatting>
  <conditionalFormatting sqref="O13">
    <cfRule type="expression" dxfId="150" priority="34">
      <formula>$Q$13&lt;&gt;$N$13</formula>
    </cfRule>
  </conditionalFormatting>
  <conditionalFormatting sqref="O12">
    <cfRule type="expression" dxfId="149" priority="33">
      <formula>$Q$12&lt;&gt;$N$12</formula>
    </cfRule>
  </conditionalFormatting>
  <conditionalFormatting sqref="S91">
    <cfRule type="expression" priority="31" stopIfTrue="1">
      <formula>$N$91&lt;0</formula>
    </cfRule>
    <cfRule type="expression" dxfId="148" priority="32">
      <formula>$T$91&lt;&gt;0</formula>
    </cfRule>
  </conditionalFormatting>
  <conditionalFormatting sqref="S84 S87">
    <cfRule type="expression" dxfId="147" priority="29" stopIfTrue="1">
      <formula>$M$91&gt;=0</formula>
    </cfRule>
    <cfRule type="expression" priority="30">
      <formula>$M$91&lt;0</formula>
    </cfRule>
  </conditionalFormatting>
  <conditionalFormatting sqref="U100:V100 R102 U101 P100:P101 Q100:R100 S100:T102 S105:U106">
    <cfRule type="cellIs" dxfId="146" priority="28" stopIfTrue="1" operator="notEqual">
      <formula>#REF!</formula>
    </cfRule>
  </conditionalFormatting>
  <conditionalFormatting sqref="P76">
    <cfRule type="expression" dxfId="145" priority="27">
      <formula>$P$75&lt;&gt;$M$75</formula>
    </cfRule>
  </conditionalFormatting>
  <conditionalFormatting sqref="Y78">
    <cfRule type="expression" dxfId="144" priority="26">
      <formula>$Y$77&lt;&gt;0</formula>
    </cfRule>
  </conditionalFormatting>
  <conditionalFormatting sqref="Q36">
    <cfRule type="expression" dxfId="143" priority="25">
      <formula>#REF!&lt;&gt;#REF!</formula>
    </cfRule>
  </conditionalFormatting>
  <conditionalFormatting sqref="R35">
    <cfRule type="expression" dxfId="142" priority="24">
      <formula>#REF!&lt;&gt;0</formula>
    </cfRule>
  </conditionalFormatting>
  <conditionalFormatting sqref="Q35">
    <cfRule type="expression" dxfId="141" priority="23">
      <formula>#REF!&lt;&gt;0</formula>
    </cfRule>
  </conditionalFormatting>
  <conditionalFormatting sqref="R36">
    <cfRule type="expression" dxfId="140" priority="22">
      <formula>#REF!&lt;&gt;#REF!</formula>
    </cfRule>
  </conditionalFormatting>
  <conditionalFormatting sqref="D99:M99 D98:L98">
    <cfRule type="cellIs" dxfId="139" priority="21" stopIfTrue="1" operator="notEqual">
      <formula>#REF!</formula>
    </cfRule>
  </conditionalFormatting>
  <conditionalFormatting sqref="M77">
    <cfRule type="cellIs" dxfId="138" priority="20" stopIfTrue="1" operator="notEqual">
      <formula>SUM($M$65:$M$76)</formula>
    </cfRule>
  </conditionalFormatting>
  <conditionalFormatting sqref="M89">
    <cfRule type="cellIs" dxfId="137" priority="19" stopIfTrue="1" operator="notEqual">
      <formula>SUM($M$87:$M$88)</formula>
    </cfRule>
  </conditionalFormatting>
  <conditionalFormatting sqref="M84">
    <cfRule type="cellIs" dxfId="136" priority="18" stopIfTrue="1" operator="notEqual">
      <formula>SUM($M$80:$M$83)</formula>
    </cfRule>
  </conditionalFormatting>
  <conditionalFormatting sqref="M62">
    <cfRule type="cellIs" dxfId="135" priority="17" stopIfTrue="1" operator="notEqual">
      <formula>SUM($M$56:$M$61)</formula>
    </cfRule>
  </conditionalFormatting>
  <conditionalFormatting sqref="M15">
    <cfRule type="cellIs" dxfId="134" priority="16" stopIfTrue="1" operator="notEqual">
      <formula>SUM($M$10:$M$14)</formula>
    </cfRule>
  </conditionalFormatting>
  <conditionalFormatting sqref="D98:L98">
    <cfRule type="cellIs" dxfId="133" priority="15" stopIfTrue="1" operator="notEqual">
      <formula>#REF!</formula>
    </cfRule>
  </conditionalFormatting>
  <conditionalFormatting sqref="G64:K64">
    <cfRule type="expression" dxfId="132" priority="14">
      <formula>$R$98&lt;&gt;0</formula>
    </cfRule>
  </conditionalFormatting>
  <conditionalFormatting sqref="O11:P11">
    <cfRule type="expression" dxfId="131" priority="13">
      <formula>#REF!&lt;&gt;$N$11</formula>
    </cfRule>
  </conditionalFormatting>
  <conditionalFormatting sqref="O13">
    <cfRule type="expression" dxfId="130" priority="12">
      <formula>$Q$13&lt;&gt;$N$13</formula>
    </cfRule>
  </conditionalFormatting>
  <conditionalFormatting sqref="O12">
    <cfRule type="expression" dxfId="129" priority="11">
      <formula>$Q$12&lt;&gt;$N$12</formula>
    </cfRule>
  </conditionalFormatting>
  <conditionalFormatting sqref="S91">
    <cfRule type="expression" priority="9" stopIfTrue="1">
      <formula>$N$91&lt;0</formula>
    </cfRule>
    <cfRule type="expression" dxfId="128" priority="10">
      <formula>$T$91&lt;&gt;0</formula>
    </cfRule>
  </conditionalFormatting>
  <conditionalFormatting sqref="S84 S87">
    <cfRule type="expression" dxfId="127" priority="7" stopIfTrue="1">
      <formula>$M$91&gt;=0</formula>
    </cfRule>
    <cfRule type="expression" priority="8">
      <formula>$M$91&lt;0</formula>
    </cfRule>
  </conditionalFormatting>
  <conditionalFormatting sqref="U100:V100 R102 U101 P100:P101 Q100:R100 S100:T102 S105:U106">
    <cfRule type="cellIs" dxfId="126" priority="6" stopIfTrue="1" operator="notEqual">
      <formula>#REF!</formula>
    </cfRule>
  </conditionalFormatting>
  <conditionalFormatting sqref="P76">
    <cfRule type="expression" dxfId="125" priority="5">
      <formula>$P$75&lt;&gt;$M$75</formula>
    </cfRule>
  </conditionalFormatting>
  <conditionalFormatting sqref="Y78">
    <cfRule type="expression" dxfId="124" priority="4">
      <formula>$Y$77&lt;&gt;0</formula>
    </cfRule>
  </conditionalFormatting>
  <conditionalFormatting sqref="Q36:R36">
    <cfRule type="expression" dxfId="123" priority="3">
      <formula>#REF!&lt;&gt;#REF!</formula>
    </cfRule>
  </conditionalFormatting>
  <conditionalFormatting sqref="R35">
    <cfRule type="expression" dxfId="122" priority="2">
      <formula>#REF!&lt;&gt;0</formula>
    </cfRule>
  </conditionalFormatting>
  <conditionalFormatting sqref="Q35">
    <cfRule type="expression" dxfId="121"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'TTUHSCEP Chts'!$A$1</f>
        <v>Texas Tech University Health Sciences Center at El Paso</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IF('TTUHSC FGD'!$S$83="N/A","FN11.  N/A",$B$14&amp;$B$15&amp;$B$16&amp;$B$17&amp;$B$18&amp;$B$19&amp;$B$20&amp;$B$21&amp;$B$22&amp;$B$23&amp;$B$24)</f>
        <v>FN11: Of the net increase of $27,292,721 approximately $25.1 million represents revenues received but not year expended. This income is fully committed to program expenditures and capital disbursements. The remaining $2.2 million represents non-expendable funds from unrealized gains and additions to permanent endowments of approximately $2.2 million and $756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TEXT(IF('TTUHSCEP FGD'!$M$91&lt;0,"N/A",'TTUHSCEP FGD'!$M$91),"$* #,##0;$* (#,##0)")</f>
        <v>$27,292,721</v>
      </c>
      <c r="C15" s="453"/>
      <c r="F15" s="453"/>
      <c r="G15" s="54"/>
    </row>
    <row r="16" spans="1:7">
      <c r="B16" s="54" t="s">
        <v>611</v>
      </c>
    </row>
    <row r="17" spans="1:6">
      <c r="A17" s="53">
        <v>68</v>
      </c>
      <c r="B17" s="489" t="str">
        <f>IF(ABS('TTUHSCEP FGD'!$S$84)&gt;=1000000,TEXT('TTUHSCEP FGD'!$S$84/1000000,"$* #,##0.0;$* (#,##0.0)")&amp;" million",IF(ABS('TTUHSCEP FGD'!$S$84)&lt;1000,TEXT('TTUHSCEP FGD'!$S$84,"$* #,##0;$* (#,##0)"),TEXT('TTUHSCEP FGD'!$S$84/1000,"$* #,##0;$* (#,##0)")&amp;" thousand"))</f>
        <v>$25.1 million</v>
      </c>
      <c r="C17" s="489"/>
      <c r="F17" s="489"/>
    </row>
    <row r="18" spans="1:6">
      <c r="B18" s="54" t="s">
        <v>627</v>
      </c>
    </row>
    <row r="19" spans="1:6">
      <c r="A19" s="53">
        <v>69</v>
      </c>
      <c r="B19" s="53" t="str">
        <f>IF(ABS('TTUHSCEP FGD'!$S$85)&gt;=1000000,TEXT('TTUHSCEP FGD'!$S$85/1000000,"$* #,##0.0;$* (#,##0.0)")&amp;" million",IF(ABS('TTUHSCEP FGD'!$S$85)&lt;1000,TEXT('TTUHSCEP FGD'!$S$85,"$* #,##0;$* (#,##0)"),TEXT('TTUHSCEP FGD'!$S$85/1000,"$* #,##0;$* (#,##0)")&amp;" thousand"))</f>
        <v>$2.2 million</v>
      </c>
    </row>
    <row r="20" spans="1:6">
      <c r="B20" s="54" t="s">
        <v>612</v>
      </c>
    </row>
    <row r="21" spans="1:6">
      <c r="A21" s="53">
        <v>71</v>
      </c>
      <c r="B21" s="53" t="str">
        <f>IF(ABS('TTUHSCEP FGD'!$S$87)&gt;=1000000,TEXT('TTUHSCEP FGD'!$S$87/1000000,"$* #,##0.0;$* (#,##0.0)")&amp;" million",IF(ABS('TTUHSCEP FGD'!$S$87)&lt;1000,TEXT('TTUHSCEP FGD'!$S$87,"$* #,##0;$* (#,##0)"),TEXT('TTUHSCEP FGD'!$S$87/1000,"$* #,##0;$* (#,##0)")&amp;" thousand"))</f>
        <v>$2.2 million</v>
      </c>
    </row>
    <row r="22" spans="1:6">
      <c r="B22" s="54" t="s">
        <v>613</v>
      </c>
    </row>
    <row r="23" spans="1:6">
      <c r="A23" s="53">
        <v>73</v>
      </c>
      <c r="B23" s="53" t="str">
        <f>IF(ABS('TTUHSCEP FGD'!$S$89)&gt;=1000000,TEXT('TTUHSCEP FGD'!$S$89/1000000,"$* #,##0.0;$* (#,##0.0)")&amp;" million",IF(ABS('TTUHSCEP FGD'!$S$89)&lt;1000,TEXT('TTUHSCEP FGD'!$S$89,"$* #,##0;$* (#,##0)"),TEXT('TTUHSCEP FGD'!$S$89/1000,"$* #,##0;$* (#,##0)")&amp;" thousand"))</f>
        <v>$756</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1315</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'AUSM Sum'!A9</f>
        <v>State of Texas</v>
      </c>
      <c r="D11" s="61">
        <f>'AUSM Sum'!B15</f>
        <v>33735871</v>
      </c>
      <c r="E11" s="673">
        <f>ROUND(D11/$D$17,3)</f>
        <v>0.28000000000000003</v>
      </c>
    </row>
    <row r="12" spans="1:5" ht="12.95" customHeight="1">
      <c r="B12" s="56"/>
      <c r="C12" s="60" t="str">
        <f>'AUSM Sum'!A17</f>
        <v>Student &amp; Parent</v>
      </c>
      <c r="D12" s="61">
        <f>'AUSM Sum'!B20</f>
        <v>2537661</v>
      </c>
      <c r="E12" s="673">
        <f t="shared" ref="E12:E15" si="0">ROUND(D12/$D$17,3)</f>
        <v>2.1000000000000001E-2</v>
      </c>
    </row>
    <row r="13" spans="1:5" ht="12.95" customHeight="1">
      <c r="B13" s="56"/>
      <c r="C13" s="60" t="str">
        <f>'AUSM Sum'!A22</f>
        <v>Federal Government</v>
      </c>
      <c r="D13" s="61">
        <f>'AUSM Sum'!B23</f>
        <v>9489928</v>
      </c>
      <c r="E13" s="673">
        <f t="shared" si="0"/>
        <v>7.9000000000000001E-2</v>
      </c>
    </row>
    <row r="14" spans="1:5" ht="12.95" customHeight="1">
      <c r="B14" s="56"/>
      <c r="C14" s="60" t="str">
        <f>'AUSM Sum'!A31</f>
        <v>Institutional Resources</v>
      </c>
      <c r="D14" s="61">
        <f>'AUSM Sum'!B38</f>
        <v>72492873</v>
      </c>
      <c r="E14" s="673">
        <f t="shared" si="0"/>
        <v>0.60099999999999998</v>
      </c>
    </row>
    <row r="15" spans="1:5" ht="12.95" customHeight="1">
      <c r="B15" s="56"/>
      <c r="C15" s="62" t="s">
        <v>58</v>
      </c>
      <c r="D15" s="61">
        <f>'AUSM Sum'!B29+'AUSM Sum'!B26</f>
        <v>2343886</v>
      </c>
      <c r="E15" s="673">
        <f t="shared" si="0"/>
        <v>1.9E-2</v>
      </c>
    </row>
    <row r="16" spans="1:5" ht="12.95" customHeight="1">
      <c r="B16" s="56"/>
      <c r="C16" s="58"/>
      <c r="D16" s="59"/>
    </row>
    <row r="17" spans="1:5" ht="12.95" customHeight="1">
      <c r="B17" s="56"/>
      <c r="C17" s="63" t="s">
        <v>71</v>
      </c>
      <c r="D17" s="64">
        <f>SUM(D11:D16)</f>
        <v>120600219</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$120,600,219</v>
      </c>
    </row>
    <row r="48" spans="1:1" ht="12.95" customHeight="1">
      <c r="A48" s="1241"/>
    </row>
    <row r="49" spans="1:5" ht="12.95" customHeight="1">
      <c r="A49" s="57"/>
    </row>
    <row r="50" spans="1:5" ht="12.95" customHeight="1">
      <c r="C50" s="915" t="s">
        <v>25</v>
      </c>
      <c r="D50" s="915"/>
    </row>
    <row r="51" spans="1:5" ht="12.95" customHeight="1">
      <c r="C51" s="58"/>
      <c r="D51" s="59"/>
    </row>
    <row r="52" spans="1:5" ht="12.95" customHeight="1">
      <c r="C52" s="55"/>
      <c r="D52" s="55"/>
    </row>
    <row r="53" spans="1:5" ht="12.95" customHeight="1">
      <c r="C53" s="60" t="s">
        <v>1</v>
      </c>
      <c r="D53" s="61">
        <f>'AUSM Sum'!B10</f>
        <v>6071343</v>
      </c>
      <c r="E53" s="673">
        <f>ROUND(D53/$D$68,3)</f>
        <v>0.05</v>
      </c>
    </row>
    <row r="54" spans="1:5" ht="12.95" customHeight="1">
      <c r="C54" s="60" t="s">
        <v>76</v>
      </c>
      <c r="D54" s="61">
        <f>'AUSM Sum'!B11</f>
        <v>2687263</v>
      </c>
      <c r="E54" s="673">
        <f t="shared" ref="E54:E67" si="1">ROUND(D54/$D$68,3)</f>
        <v>2.1999999999999999E-2</v>
      </c>
    </row>
    <row r="55" spans="1:5" ht="12.95" customHeight="1">
      <c r="C55" s="907"/>
      <c r="D55" s="61"/>
      <c r="E55" s="673"/>
    </row>
    <row r="56" spans="1:5" ht="12.95" customHeight="1">
      <c r="C56" s="60" t="str">
        <f>'AUSM Sum'!A13</f>
        <v>Higher Education Fund</v>
      </c>
      <c r="D56" s="61">
        <f>'AUSM Sum'!B13</f>
        <v>0</v>
      </c>
      <c r="E56" s="673">
        <f t="shared" si="1"/>
        <v>0</v>
      </c>
    </row>
    <row r="57" spans="1:5" ht="12.95" customHeight="1">
      <c r="C57" s="907" t="s">
        <v>39</v>
      </c>
      <c r="D57" s="61">
        <f>'AUSM Sum'!B14</f>
        <v>24977265</v>
      </c>
      <c r="E57" s="673">
        <f t="shared" si="1"/>
        <v>0.20699999999999999</v>
      </c>
    </row>
    <row r="58" spans="1:5" ht="12.95" customHeight="1">
      <c r="C58" s="60" t="s">
        <v>77</v>
      </c>
      <c r="D58" s="61">
        <f>'AUSM Sum'!B20</f>
        <v>2537661</v>
      </c>
      <c r="E58" s="673">
        <f t="shared" si="1"/>
        <v>2.1000000000000001E-2</v>
      </c>
    </row>
    <row r="59" spans="1:5" ht="12.95" customHeight="1">
      <c r="C59" s="66" t="s">
        <v>78</v>
      </c>
      <c r="D59" s="61">
        <f>'AUSM Sum'!B23</f>
        <v>9489928</v>
      </c>
      <c r="E59" s="673">
        <f t="shared" si="1"/>
        <v>7.9000000000000001E-2</v>
      </c>
    </row>
    <row r="60" spans="1:5" ht="12.95" customHeight="1">
      <c r="C60" s="60" t="s">
        <v>79</v>
      </c>
      <c r="D60" s="61">
        <f>'AUSM Sum'!B32</f>
        <v>1922914</v>
      </c>
      <c r="E60" s="673">
        <f t="shared" si="1"/>
        <v>1.6E-2</v>
      </c>
    </row>
    <row r="61" spans="1:5" ht="12.95" customHeight="1">
      <c r="C61" s="60" t="s">
        <v>198</v>
      </c>
      <c r="D61" s="61">
        <f>'AUSM Sum'!B33</f>
        <v>35881870</v>
      </c>
      <c r="E61" s="673">
        <f t="shared" si="1"/>
        <v>0.29799999999999999</v>
      </c>
    </row>
    <row r="62" spans="1:5" ht="12.95" customHeight="1">
      <c r="C62" s="60" t="s">
        <v>80</v>
      </c>
      <c r="D62" s="61">
        <f>'AUSM Sum'!B34</f>
        <v>28179586</v>
      </c>
      <c r="E62" s="673">
        <f t="shared" si="1"/>
        <v>0.23400000000000001</v>
      </c>
    </row>
    <row r="63" spans="1:5" ht="12.95" customHeight="1">
      <c r="C63" s="60" t="s">
        <v>81</v>
      </c>
      <c r="D63" s="61">
        <f>'AUSM Sum'!B35</f>
        <v>84761</v>
      </c>
      <c r="E63" s="673">
        <f t="shared" si="1"/>
        <v>1E-3</v>
      </c>
    </row>
    <row r="64" spans="1:5" ht="12.95" customHeight="1">
      <c r="C64" s="60" t="s">
        <v>12</v>
      </c>
      <c r="D64" s="61">
        <f>'AUSM Sum'!B36</f>
        <v>3152078</v>
      </c>
      <c r="E64" s="673">
        <f t="shared" si="1"/>
        <v>2.5999999999999999E-2</v>
      </c>
    </row>
    <row r="65" spans="1:5" ht="12.95" customHeight="1">
      <c r="C65" s="66" t="s">
        <v>48</v>
      </c>
      <c r="D65" s="61">
        <f>'AUSM Sum'!B37</f>
        <v>3271664</v>
      </c>
      <c r="E65" s="673">
        <f t="shared" si="1"/>
        <v>2.7E-2</v>
      </c>
    </row>
    <row r="66" spans="1:5" ht="12.95" customHeight="1">
      <c r="C66" s="66" t="s">
        <v>57</v>
      </c>
      <c r="D66" s="61">
        <f>'AUSM Sum'!B26</f>
        <v>2343886</v>
      </c>
      <c r="E66" s="673">
        <f t="shared" si="1"/>
        <v>1.9E-2</v>
      </c>
    </row>
    <row r="67" spans="1:5" ht="12.95" customHeight="1">
      <c r="C67" s="912" t="s">
        <v>58</v>
      </c>
      <c r="D67" s="61">
        <f>'AUSM Sum'!B29</f>
        <v>0</v>
      </c>
      <c r="E67" s="673">
        <f t="shared" si="1"/>
        <v>0</v>
      </c>
    </row>
    <row r="68" spans="1:5" ht="12.95" customHeight="1">
      <c r="C68" s="63" t="s">
        <v>71</v>
      </c>
      <c r="D68" s="64">
        <f>SUM(D53:D67)</f>
        <v>120600219</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$120,600,219</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'AUSM Sum'!B42</f>
        <v>4099463</v>
      </c>
      <c r="E102" s="673">
        <f>ROUND(D102/$D$115,3)</f>
        <v>3.3000000000000002E-2</v>
      </c>
    </row>
    <row r="103" spans="1:5" ht="12.95" customHeight="1">
      <c r="C103" s="68" t="s">
        <v>15</v>
      </c>
      <c r="D103" s="61">
        <f>'AUSM Sum'!B43</f>
        <v>24774653</v>
      </c>
      <c r="E103" s="673">
        <f t="shared" ref="E103:E113" si="2">ROUND(D103/$D$115,3)</f>
        <v>0.2</v>
      </c>
    </row>
    <row r="104" spans="1:5" ht="12.95" customHeight="1">
      <c r="C104" s="68" t="s">
        <v>16</v>
      </c>
      <c r="D104" s="61">
        <f>'AUSM Sum'!B44</f>
        <v>3315193</v>
      </c>
      <c r="E104" s="673">
        <f t="shared" si="2"/>
        <v>2.7E-2</v>
      </c>
    </row>
    <row r="105" spans="1:5" ht="12.95" customHeight="1">
      <c r="C105" s="68" t="s">
        <v>17</v>
      </c>
      <c r="D105" s="61">
        <f>'AUSM Sum'!B46</f>
        <v>36576862</v>
      </c>
      <c r="E105" s="673">
        <f t="shared" si="2"/>
        <v>0.29499999999999998</v>
      </c>
    </row>
    <row r="106" spans="1:5" ht="12.95" customHeight="1">
      <c r="C106" s="68" t="s">
        <v>18</v>
      </c>
      <c r="D106" s="61">
        <f>'AUSM Sum'!B47</f>
        <v>0</v>
      </c>
      <c r="E106" s="673">
        <f t="shared" si="2"/>
        <v>0</v>
      </c>
    </row>
    <row r="107" spans="1:5" ht="12.95" customHeight="1">
      <c r="C107" s="68" t="s">
        <v>19</v>
      </c>
      <c r="D107" s="61">
        <f>'AUSM Sum'!B48</f>
        <v>18869692</v>
      </c>
      <c r="E107" s="673">
        <f t="shared" si="2"/>
        <v>0.152</v>
      </c>
    </row>
    <row r="108" spans="1:5" ht="12.95" customHeight="1">
      <c r="C108" s="68" t="s">
        <v>82</v>
      </c>
      <c r="D108" s="61">
        <f>'AUSM Sum'!B49</f>
        <v>12533378</v>
      </c>
      <c r="E108" s="673">
        <f t="shared" si="2"/>
        <v>0.10100000000000001</v>
      </c>
    </row>
    <row r="109" spans="1:5" ht="12.95" customHeight="1">
      <c r="C109" s="68" t="s">
        <v>83</v>
      </c>
      <c r="D109" s="61">
        <f>'AUSM Sum'!B50</f>
        <v>1209635</v>
      </c>
      <c r="E109" s="673">
        <f t="shared" si="2"/>
        <v>0.01</v>
      </c>
    </row>
    <row r="110" spans="1:5" ht="12.95" customHeight="1">
      <c r="C110" s="68" t="s">
        <v>22</v>
      </c>
      <c r="D110" s="61">
        <f>'AUSM Sum'!B51</f>
        <v>2596322</v>
      </c>
      <c r="E110" s="673">
        <f t="shared" si="2"/>
        <v>2.1000000000000001E-2</v>
      </c>
    </row>
    <row r="111" spans="1:5" ht="12.95" customHeight="1">
      <c r="C111" s="68" t="s">
        <v>27</v>
      </c>
      <c r="D111" s="61">
        <f>'AUSM Sum'!B52</f>
        <v>1390216</v>
      </c>
      <c r="E111" s="673">
        <f t="shared" si="2"/>
        <v>1.0999999999999999E-2</v>
      </c>
    </row>
    <row r="112" spans="1:5" ht="12.95" customHeight="1">
      <c r="C112" s="66" t="s">
        <v>49</v>
      </c>
      <c r="D112" s="61">
        <f>'AUSM Sum'!B53</f>
        <v>0</v>
      </c>
      <c r="E112" s="673">
        <f t="shared" si="2"/>
        <v>0</v>
      </c>
    </row>
    <row r="113" spans="3:5" ht="12.95" customHeight="1">
      <c r="C113" s="62" t="s">
        <v>84</v>
      </c>
      <c r="D113" s="61">
        <f>'AUSM Sum'!B45</f>
        <v>18740043</v>
      </c>
      <c r="E113" s="673">
        <f t="shared" si="2"/>
        <v>0.151</v>
      </c>
    </row>
    <row r="114" spans="3:5" ht="12.95" customHeight="1">
      <c r="C114" s="58"/>
      <c r="D114" s="58"/>
      <c r="E114" s="674"/>
    </row>
    <row r="115" spans="3:5" ht="12.95" customHeight="1">
      <c r="C115" s="70" t="s">
        <v>72</v>
      </c>
      <c r="D115" s="64">
        <f>SUM(D102:D114)</f>
        <v>124105457</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$124,105,457</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7"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'AUSM Chts'!$A$1</f>
        <v>The University of Texas at Austin Medical School (M)</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51">
        <f>VLOOKUP(A1,NamesLU,2,FALSE)</f>
        <v>203658</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100</v>
      </c>
      <c r="J6" s="643"/>
      <c r="O6" s="51"/>
    </row>
    <row r="7" spans="1:15">
      <c r="B7" s="79"/>
      <c r="C7" s="5"/>
      <c r="I7" s="683" t="s">
        <v>1114</v>
      </c>
      <c r="J7" s="684"/>
      <c r="O7" s="51"/>
    </row>
    <row r="8" spans="1:15">
      <c r="A8" s="81" t="s">
        <v>74</v>
      </c>
      <c r="B8" s="81"/>
      <c r="C8" s="15"/>
      <c r="I8" s="685">
        <f>VLOOKUP($G$2,FTSELU,11,FALSE)</f>
        <v>88.85</v>
      </c>
      <c r="J8" s="643"/>
      <c r="O8" s="51"/>
    </row>
    <row r="9" spans="1:15" ht="12.75" customHeight="1" thickBot="1">
      <c r="A9" s="78" t="s">
        <v>0</v>
      </c>
      <c r="B9" s="82"/>
      <c r="C9" s="8"/>
      <c r="J9" s="643"/>
      <c r="O9" s="51"/>
    </row>
    <row r="10" spans="1:15" ht="12.75" customHeight="1" thickTop="1">
      <c r="A10" s="74" t="s">
        <v>1108</v>
      </c>
      <c r="B10" s="83">
        <f>'AUSM FGD'!M10</f>
        <v>6071343</v>
      </c>
      <c r="C10" s="83"/>
      <c r="D10" s="143">
        <f>'AUSM FGD'!F10</f>
        <v>0</v>
      </c>
      <c r="E10" s="143"/>
      <c r="F10" s="84">
        <f>B10-(SUM(D10:E10))</f>
        <v>6071343</v>
      </c>
      <c r="G10" s="980" t="s">
        <v>1</v>
      </c>
      <c r="H10" s="981"/>
      <c r="I10" s="686" t="s">
        <v>1115</v>
      </c>
      <c r="J10" s="644">
        <f>ROUND(F10/$C$6,0)</f>
        <v>60713</v>
      </c>
      <c r="O10" s="51"/>
    </row>
    <row r="11" spans="1:15" ht="12.75" customHeight="1" thickBot="1">
      <c r="A11" s="74" t="s">
        <v>2</v>
      </c>
      <c r="B11" s="86">
        <f>'AUSM FGD'!M11</f>
        <v>2687263</v>
      </c>
      <c r="C11" s="86"/>
      <c r="D11" s="284">
        <f>'AUSM FGD'!F11</f>
        <v>0</v>
      </c>
      <c r="E11" s="73"/>
      <c r="F11" s="566">
        <f t="shared" ref="F11:F14" si="0">B11-(SUM(D11:E11))</f>
        <v>2687263</v>
      </c>
      <c r="G11" s="987">
        <f>SUM(F10:F11)</f>
        <v>8758606</v>
      </c>
      <c r="H11" s="777"/>
      <c r="I11" s="791">
        <f>ROUND($G$11/$C$6,0)</f>
        <v>87586</v>
      </c>
      <c r="J11" s="645">
        <f t="shared" ref="J11:J14" si="1">ROUND(F11/$C$6,0)</f>
        <v>26873</v>
      </c>
      <c r="O11" s="51"/>
    </row>
    <row r="12" spans="1:15" ht="12.75" hidden="1" customHeight="1" thickTop="1" thickBot="1">
      <c r="A12" s="74" t="s">
        <v>1345</v>
      </c>
      <c r="B12" s="86"/>
      <c r="C12" s="86"/>
      <c r="D12" s="284"/>
      <c r="E12" s="73"/>
      <c r="F12" s="567"/>
      <c r="J12" s="645"/>
      <c r="O12" s="568"/>
    </row>
    <row r="13" spans="1:15" ht="12.75" customHeight="1" thickTop="1">
      <c r="A13" s="74" t="s">
        <v>1298</v>
      </c>
      <c r="B13" s="86">
        <f>'AUSM FGD'!M13</f>
        <v>0</v>
      </c>
      <c r="C13" s="86"/>
      <c r="D13" s="284">
        <f>'AUSM FGD'!F13</f>
        <v>0</v>
      </c>
      <c r="E13" s="73"/>
      <c r="F13" s="786">
        <f t="shared" si="0"/>
        <v>0</v>
      </c>
      <c r="G13" s="780" t="s">
        <v>86</v>
      </c>
      <c r="H13" s="787"/>
      <c r="I13" s="731" t="s">
        <v>1116</v>
      </c>
      <c r="J13" s="645">
        <f t="shared" si="1"/>
        <v>0</v>
      </c>
      <c r="O13" s="51"/>
    </row>
    <row r="14" spans="1:15" ht="12.75" customHeight="1" thickBot="1">
      <c r="A14" s="74" t="s">
        <v>46</v>
      </c>
      <c r="B14" s="86">
        <f>'AUSM FGD'!M14</f>
        <v>24977265</v>
      </c>
      <c r="C14" s="86"/>
      <c r="D14" s="284">
        <f>'AUSM FGD'!F14</f>
        <v>0</v>
      </c>
      <c r="E14" s="73"/>
      <c r="F14" s="567">
        <f t="shared" si="0"/>
        <v>24977265</v>
      </c>
      <c r="G14" s="687">
        <f>SUM(F13:F14)</f>
        <v>24977265</v>
      </c>
      <c r="H14" s="788"/>
      <c r="I14" s="792">
        <f>ROUND($G$11/$I$8,0)</f>
        <v>98577</v>
      </c>
      <c r="J14" s="689">
        <f t="shared" si="1"/>
        <v>249773</v>
      </c>
      <c r="O14" s="51"/>
    </row>
    <row r="15" spans="1:15" ht="12.75" customHeight="1" thickTop="1">
      <c r="A15" s="87" t="s">
        <v>3</v>
      </c>
      <c r="B15" s="88">
        <f>SUM(B10:B14)</f>
        <v>33735871</v>
      </c>
      <c r="C15" s="88">
        <f>SUM(C10:C14)</f>
        <v>0</v>
      </c>
      <c r="D15" s="88">
        <f>SUM(D10:D14)</f>
        <v>0</v>
      </c>
      <c r="E15" s="88">
        <f>SUM(E10:E14)</f>
        <v>0</v>
      </c>
      <c r="F15" s="646">
        <f>SUM(F10:F14)</f>
        <v>33735871</v>
      </c>
      <c r="I15" s="916"/>
      <c r="J15" s="669">
        <f>SUM(J10:J14)</f>
        <v>337359</v>
      </c>
      <c r="O15" s="51"/>
    </row>
    <row r="16" spans="1:15">
      <c r="C16" s="74"/>
      <c r="J16" s="643"/>
      <c r="O16" s="51"/>
    </row>
    <row r="17" spans="1:15" ht="12.75" customHeight="1">
      <c r="A17" s="78" t="s">
        <v>4</v>
      </c>
      <c r="C17" s="74"/>
      <c r="J17" s="643"/>
      <c r="O17" s="51"/>
    </row>
    <row r="18" spans="1:15">
      <c r="A18" s="74" t="s">
        <v>37</v>
      </c>
      <c r="B18" s="83">
        <f>'AUSM FGD'!M29</f>
        <v>2089886</v>
      </c>
      <c r="C18" s="83"/>
      <c r="D18" s="143">
        <f>'AUSM FGD'!$F$29</f>
        <v>0</v>
      </c>
      <c r="E18" s="143"/>
      <c r="F18" s="143">
        <f t="shared" ref="F18:F19" si="2">B18-(SUM(D18:E18))</f>
        <v>2089886</v>
      </c>
      <c r="G18" s="351"/>
      <c r="H18" s="351"/>
      <c r="I18" s="351"/>
      <c r="J18" s="644">
        <f>ROUND(F18/$C$6,0)</f>
        <v>20899</v>
      </c>
      <c r="O18" s="51"/>
    </row>
    <row r="19" spans="1:15" ht="13.5" thickBot="1">
      <c r="A19" s="74" t="s">
        <v>38</v>
      </c>
      <c r="B19" s="86">
        <f>'AUSM FGD'!M42</f>
        <v>447775</v>
      </c>
      <c r="C19" s="86"/>
      <c r="D19" s="73">
        <f>'AUSM FGD'!$F$42</f>
        <v>0</v>
      </c>
      <c r="E19" s="73"/>
      <c r="F19" s="73">
        <f t="shared" si="2"/>
        <v>447775</v>
      </c>
      <c r="G19" s="351"/>
      <c r="H19" s="351"/>
      <c r="I19" s="351"/>
      <c r="J19" s="645">
        <f>ROUND(F19/$C$6,0)</f>
        <v>4478</v>
      </c>
      <c r="O19" s="51"/>
    </row>
    <row r="20" spans="1:15" ht="14.25" thickTop="1" thickBot="1">
      <c r="A20" s="87" t="s">
        <v>5</v>
      </c>
      <c r="B20" s="88">
        <f>SUM(B18:B19)</f>
        <v>2537661</v>
      </c>
      <c r="C20" s="88">
        <f>SUM(C18:C19)</f>
        <v>0</v>
      </c>
      <c r="D20" s="647">
        <f>SUM(D18:D19)</f>
        <v>0</v>
      </c>
      <c r="E20" s="648">
        <f>SUM(E18:E19)</f>
        <v>0</v>
      </c>
      <c r="F20" s="690">
        <f>SUM(F18:F19)</f>
        <v>2537661</v>
      </c>
      <c r="G20" s="650" t="s">
        <v>87</v>
      </c>
      <c r="H20" s="569"/>
      <c r="I20" s="570"/>
      <c r="J20" s="651">
        <f>SUM(J18:J19)</f>
        <v>25377</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'AUSM FGD'!M47</f>
        <v>9489928</v>
      </c>
      <c r="C23" s="88"/>
      <c r="D23" s="647">
        <f>'AUSM FGD'!F47</f>
        <v>0</v>
      </c>
      <c r="E23" s="648"/>
      <c r="F23" s="690">
        <f>B23-(SUM(D23:E23))</f>
        <v>9489928</v>
      </c>
      <c r="G23" s="652" t="s">
        <v>1162</v>
      </c>
      <c r="H23" s="569"/>
      <c r="I23" s="570"/>
      <c r="J23" s="668">
        <f>ROUND(F23/$C$6,0)</f>
        <v>94899</v>
      </c>
      <c r="O23" s="51"/>
    </row>
    <row r="24" spans="1:15" ht="13.5" thickTop="1">
      <c r="C24" s="74"/>
      <c r="J24" s="643"/>
      <c r="O24" s="51"/>
    </row>
    <row r="25" spans="1:15">
      <c r="A25" s="78" t="s">
        <v>57</v>
      </c>
      <c r="C25" s="74"/>
      <c r="D25" s="73"/>
      <c r="H25" s="351"/>
      <c r="J25" s="643"/>
      <c r="O25" s="51"/>
    </row>
    <row r="26" spans="1:15">
      <c r="A26" s="87" t="s">
        <v>56</v>
      </c>
      <c r="B26" s="88">
        <f>'AUSM FGD'!M50</f>
        <v>2343886</v>
      </c>
      <c r="C26" s="88"/>
      <c r="D26" s="88">
        <f>'AUSM FGD'!F50</f>
        <v>0</v>
      </c>
      <c r="E26" s="88">
        <f>B26-D26</f>
        <v>2343886</v>
      </c>
      <c r="F26" s="88">
        <f t="shared" ref="F26" si="3">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'AUSM FGD'!M53</f>
        <v>0</v>
      </c>
      <c r="C29" s="88"/>
      <c r="D29" s="88">
        <f>'AUSM FGD'!F53</f>
        <v>0</v>
      </c>
      <c r="E29" s="88">
        <f>B29-D29</f>
        <v>0</v>
      </c>
      <c r="F29" s="88">
        <f t="shared" ref="F29" si="4">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'AUSM FGD'!M56</f>
        <v>1922914</v>
      </c>
      <c r="C32" s="83"/>
      <c r="D32" s="143">
        <f>'AUSM FGD'!F56</f>
        <v>0</v>
      </c>
      <c r="E32" s="143"/>
      <c r="F32" s="143">
        <f t="shared" ref="F32:F37" si="5">B32-(SUM(D32:E32))</f>
        <v>1922914</v>
      </c>
      <c r="G32" s="351"/>
      <c r="H32" s="351"/>
      <c r="I32" s="351"/>
      <c r="J32" s="644">
        <f>ROUND(F32/$C$6,0)</f>
        <v>19229</v>
      </c>
      <c r="O32" s="51"/>
    </row>
    <row r="33" spans="1:30">
      <c r="A33" s="74" t="s">
        <v>9</v>
      </c>
      <c r="B33" s="86">
        <f>'AUSM FGD'!M57</f>
        <v>35881870</v>
      </c>
      <c r="C33" s="86"/>
      <c r="D33" s="284">
        <f>'AUSM FGD'!F57</f>
        <v>0</v>
      </c>
      <c r="E33" s="73"/>
      <c r="F33" s="73">
        <f t="shared" si="5"/>
        <v>35881870</v>
      </c>
      <c r="G33" s="351"/>
      <c r="H33" s="351"/>
      <c r="I33" s="351"/>
      <c r="J33" s="645">
        <f t="shared" ref="J33:J37" si="6">ROUND(F33/$C$6,0)</f>
        <v>358819</v>
      </c>
      <c r="O33" s="51"/>
    </row>
    <row r="34" spans="1:30" ht="13.5" thickBot="1">
      <c r="A34" s="74" t="s">
        <v>10</v>
      </c>
      <c r="B34" s="86">
        <f>'AUSM FGD'!M58</f>
        <v>28179586</v>
      </c>
      <c r="C34" s="86"/>
      <c r="D34" s="284">
        <f>'AUSM FGD'!F58</f>
        <v>0</v>
      </c>
      <c r="E34" s="73"/>
      <c r="F34" s="73">
        <f t="shared" si="5"/>
        <v>28179586</v>
      </c>
      <c r="G34" s="351"/>
      <c r="H34" s="351"/>
      <c r="I34" s="351"/>
      <c r="J34" s="645">
        <f t="shared" si="6"/>
        <v>281796</v>
      </c>
      <c r="O34" s="51"/>
    </row>
    <row r="35" spans="1:30" ht="13.5" thickBot="1">
      <c r="A35" s="74" t="s">
        <v>11</v>
      </c>
      <c r="B35" s="86">
        <f>'AUSM FGD'!M59</f>
        <v>84761</v>
      </c>
      <c r="C35" s="86"/>
      <c r="D35" s="284">
        <f>'AUSM FGD'!F59</f>
        <v>0</v>
      </c>
      <c r="E35" s="73"/>
      <c r="F35" s="73">
        <f t="shared" si="5"/>
        <v>84761</v>
      </c>
      <c r="G35" s="351"/>
      <c r="H35" s="351"/>
      <c r="I35" s="351"/>
      <c r="J35" s="645">
        <f t="shared" si="6"/>
        <v>848</v>
      </c>
      <c r="K35" s="1262"/>
      <c r="L35" s="1245"/>
      <c r="M35" s="1245"/>
      <c r="N35" s="1245"/>
      <c r="O35" s="1246"/>
    </row>
    <row r="36" spans="1:30" ht="13.5" thickBot="1">
      <c r="A36" s="92" t="s">
        <v>1362</v>
      </c>
      <c r="B36" s="86">
        <f>'AUSM FGD'!M60</f>
        <v>3152078</v>
      </c>
      <c r="C36" s="86"/>
      <c r="D36" s="284">
        <f>'AUSM FGD'!F60</f>
        <v>3152078</v>
      </c>
      <c r="E36" s="73"/>
      <c r="F36" s="73">
        <f t="shared" si="5"/>
        <v>0</v>
      </c>
      <c r="G36" s="351"/>
      <c r="H36" s="351"/>
      <c r="I36" s="351"/>
      <c r="J36" s="645">
        <f t="shared" si="6"/>
        <v>0</v>
      </c>
      <c r="K36" s="1262" t="s">
        <v>1017</v>
      </c>
      <c r="L36" s="1245"/>
      <c r="M36" s="1245"/>
      <c r="N36" s="1245"/>
      <c r="O36" s="1246"/>
    </row>
    <row r="37" spans="1:30" ht="13.5" customHeight="1" thickBot="1">
      <c r="A37" s="93" t="s">
        <v>41</v>
      </c>
      <c r="B37" s="86">
        <f>'AUSM FGD'!M61</f>
        <v>3271664</v>
      </c>
      <c r="C37" s="86"/>
      <c r="D37" s="284">
        <f>'AUSM FGD'!F61</f>
        <v>0</v>
      </c>
      <c r="E37" s="73"/>
      <c r="F37" s="73">
        <f t="shared" si="5"/>
        <v>3271664</v>
      </c>
      <c r="G37" s="24"/>
      <c r="H37" s="24"/>
      <c r="I37" s="577"/>
      <c r="J37" s="645">
        <f t="shared" si="6"/>
        <v>32717</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72492873</v>
      </c>
      <c r="C38" s="88"/>
      <c r="D38" s="291">
        <f>SUM(D32:D37)</f>
        <v>3152078</v>
      </c>
      <c r="E38" s="291">
        <f>SUM(E32:E37)</f>
        <v>0</v>
      </c>
      <c r="F38" s="692">
        <f>SUM(F32:F37)</f>
        <v>69340795</v>
      </c>
      <c r="G38" s="1259" t="s">
        <v>8</v>
      </c>
      <c r="H38" s="1260"/>
      <c r="I38" s="693" t="s">
        <v>1118</v>
      </c>
      <c r="J38" s="653">
        <f>SUM(J32:J37)</f>
        <v>693409</v>
      </c>
      <c r="K38" s="1264"/>
      <c r="L38" s="1264"/>
      <c r="M38" s="1264"/>
      <c r="N38" s="1264" t="s">
        <v>1021</v>
      </c>
      <c r="O38" s="1264" t="s">
        <v>1022</v>
      </c>
    </row>
    <row r="39" spans="1:30" ht="13.5" thickTop="1">
      <c r="A39" s="94" t="s">
        <v>71</v>
      </c>
      <c r="B39" s="47">
        <f>B15+B20+B23+B26+B29+B38</f>
        <v>120600219</v>
      </c>
      <c r="C39" s="139"/>
      <c r="D39" s="47">
        <f>D15+D20+D23+D26+D29+D38</f>
        <v>3152078</v>
      </c>
      <c r="E39" s="47">
        <f>E15+E20+E23+E26+E29+E38</f>
        <v>2343886</v>
      </c>
      <c r="F39" s="778">
        <f>F38+F23+F20+F15</f>
        <v>115104255</v>
      </c>
      <c r="G39" s="1261" t="s">
        <v>89</v>
      </c>
      <c r="H39" s="1261"/>
      <c r="I39" s="793">
        <f>ROUND($G$41/$C$6,0)</f>
        <v>901270</v>
      </c>
      <c r="J39" s="654">
        <f>J15+J20+J23+J38</f>
        <v>1151044</v>
      </c>
      <c r="K39" s="1264"/>
      <c r="L39" s="1264"/>
      <c r="M39" s="1264"/>
      <c r="N39" s="1264"/>
      <c r="O39" s="1264"/>
    </row>
    <row r="40" spans="1:30" ht="13.5" thickBot="1">
      <c r="C40" s="74"/>
      <c r="D40" s="351"/>
      <c r="E40" s="351"/>
      <c r="F40" s="351" t="s">
        <v>1163</v>
      </c>
      <c r="G40" s="779">
        <f>G14*-1</f>
        <v>-24977265</v>
      </c>
      <c r="H40" s="351"/>
      <c r="I40" s="693" t="s">
        <v>1120</v>
      </c>
      <c r="J40" s="655"/>
      <c r="K40" s="1265"/>
      <c r="L40" s="1265"/>
      <c r="M40" s="1265"/>
      <c r="N40" s="1265"/>
      <c r="O40" s="1265"/>
    </row>
    <row r="41" spans="1:30" ht="14.25" thickTop="1" thickBot="1">
      <c r="A41" s="81" t="s">
        <v>75</v>
      </c>
      <c r="B41" s="81"/>
      <c r="C41" s="81"/>
      <c r="D41" s="656"/>
      <c r="E41" s="656"/>
      <c r="F41" s="694" t="s">
        <v>1119</v>
      </c>
      <c r="G41" s="695">
        <f>F39+G40</f>
        <v>90126990</v>
      </c>
      <c r="I41" s="1046">
        <f>ROUND($G$41/$I$8,0)</f>
        <v>1014372</v>
      </c>
      <c r="K41" s="571"/>
      <c r="L41" s="571"/>
      <c r="M41" s="571"/>
      <c r="N41" s="571"/>
      <c r="O41" s="571"/>
    </row>
    <row r="42" spans="1:30" ht="13.5" thickTop="1">
      <c r="A42" s="95" t="s">
        <v>14</v>
      </c>
      <c r="B42" s="83">
        <f>'AUSM FGD'!M65</f>
        <v>4099463</v>
      </c>
      <c r="C42" s="83"/>
      <c r="D42" s="143">
        <f>'AUSM FGD'!F65</f>
        <v>0</v>
      </c>
      <c r="E42" s="143"/>
      <c r="F42" s="143">
        <f t="shared" ref="F42" si="7">B42-(SUM(D42:E42))</f>
        <v>4099463</v>
      </c>
      <c r="G42" s="351"/>
      <c r="H42" s="1048" t="s">
        <v>1394</v>
      </c>
      <c r="I42" s="1047">
        <f>ROUND(F42/$C$6,0)</f>
        <v>40995</v>
      </c>
      <c r="J42" s="351" t="s">
        <v>669</v>
      </c>
      <c r="K42" s="143">
        <f>F42</f>
        <v>4099463</v>
      </c>
      <c r="L42" s="143">
        <f>K42</f>
        <v>4099463</v>
      </c>
      <c r="M42" s="143"/>
      <c r="N42" s="143"/>
      <c r="O42" s="143"/>
    </row>
    <row r="43" spans="1:30">
      <c r="A43" s="95" t="s">
        <v>15</v>
      </c>
      <c r="B43" s="86">
        <f>'AUSM FGD'!M66</f>
        <v>24774653</v>
      </c>
      <c r="C43" s="86"/>
      <c r="D43" s="357">
        <f>'AUSM FGD'!F66</f>
        <v>0</v>
      </c>
      <c r="E43" s="73"/>
      <c r="F43" s="73">
        <f t="shared" ref="F43:F44" si="8">B43-(SUM(D43:E43))</f>
        <v>24774653</v>
      </c>
      <c r="G43" s="351"/>
      <c r="H43" s="351"/>
      <c r="J43" s="351" t="s">
        <v>1093</v>
      </c>
      <c r="K43" s="357">
        <f>F43</f>
        <v>24774653</v>
      </c>
      <c r="L43" s="357">
        <f>K43</f>
        <v>24774653</v>
      </c>
      <c r="M43" s="357"/>
      <c r="N43" s="357"/>
      <c r="O43" s="357"/>
    </row>
    <row r="44" spans="1:30">
      <c r="A44" s="95" t="s">
        <v>16</v>
      </c>
      <c r="B44" s="86">
        <f>'AUSM FGD'!M67</f>
        <v>3315193</v>
      </c>
      <c r="C44" s="86"/>
      <c r="D44" s="357">
        <f>'AUSM FGD'!F67</f>
        <v>0</v>
      </c>
      <c r="E44" s="284">
        <f>B44-D44</f>
        <v>3315193</v>
      </c>
      <c r="F44" s="73">
        <f t="shared" si="8"/>
        <v>0</v>
      </c>
      <c r="G44" s="351"/>
      <c r="H44" s="351"/>
      <c r="I44" s="351"/>
      <c r="J44" s="351" t="s">
        <v>1094</v>
      </c>
      <c r="K44" s="670"/>
      <c r="L44" s="671"/>
      <c r="M44" s="671" t="s">
        <v>1095</v>
      </c>
      <c r="N44" s="671"/>
      <c r="O44" s="672"/>
    </row>
    <row r="45" spans="1:30">
      <c r="A45" s="96" t="s">
        <v>55</v>
      </c>
      <c r="B45" s="86">
        <f>'AUSM FGD'!M68</f>
        <v>18740043</v>
      </c>
      <c r="C45" s="86"/>
      <c r="D45" s="357">
        <f>'AUSM FGD'!F68</f>
        <v>0</v>
      </c>
      <c r="E45" s="284">
        <f>B45-D45</f>
        <v>18740043</v>
      </c>
      <c r="F45" s="73">
        <f t="shared" ref="F45:F53" si="9">B45-(SUM(D45:E45))</f>
        <v>0</v>
      </c>
      <c r="G45" s="776"/>
      <c r="J45" s="51" t="s">
        <v>1096</v>
      </c>
      <c r="K45" s="1266" t="s">
        <v>1095</v>
      </c>
      <c r="L45" s="1267"/>
      <c r="M45" s="1267"/>
      <c r="N45" s="1267"/>
      <c r="O45" s="1268"/>
    </row>
    <row r="46" spans="1:30">
      <c r="A46" s="95" t="s">
        <v>17</v>
      </c>
      <c r="B46" s="86">
        <f>'AUSM FGD'!M69</f>
        <v>36576862</v>
      </c>
      <c r="C46" s="86"/>
      <c r="D46" s="357">
        <f>'AUSM FGD'!F69</f>
        <v>0</v>
      </c>
      <c r="E46" s="73"/>
      <c r="F46" s="73">
        <f t="shared" si="9"/>
        <v>36576862</v>
      </c>
      <c r="G46" s="351"/>
      <c r="H46" s="1048" t="s">
        <v>1395</v>
      </c>
      <c r="I46" s="1047">
        <f>ROUND(F46/$C$6,0)</f>
        <v>365769</v>
      </c>
      <c r="J46" s="351" t="s">
        <v>1097</v>
      </c>
      <c r="K46" s="357">
        <f t="shared" ref="K46:K50" si="10">F46</f>
        <v>36576862</v>
      </c>
      <c r="L46" s="357">
        <f>K46</f>
        <v>36576862</v>
      </c>
      <c r="M46" s="357"/>
      <c r="N46" s="357"/>
      <c r="O46" s="357"/>
    </row>
    <row r="47" spans="1:30">
      <c r="A47" s="95" t="s">
        <v>18</v>
      </c>
      <c r="B47" s="86">
        <f>'AUSM FGD'!M70</f>
        <v>0</v>
      </c>
      <c r="C47" s="86"/>
      <c r="D47" s="357">
        <f>'AUSM FGD'!F70</f>
        <v>0</v>
      </c>
      <c r="E47" s="73"/>
      <c r="F47" s="73">
        <f t="shared" si="9"/>
        <v>0</v>
      </c>
      <c r="G47" s="351"/>
      <c r="H47" s="351"/>
      <c r="I47" s="351"/>
      <c r="J47" s="351" t="s">
        <v>1098</v>
      </c>
      <c r="K47" s="357">
        <f t="shared" si="10"/>
        <v>0</v>
      </c>
      <c r="L47" s="357"/>
      <c r="M47" s="357">
        <f>K47</f>
        <v>0</v>
      </c>
      <c r="N47" s="357"/>
      <c r="O47" s="357"/>
    </row>
    <row r="48" spans="1:30">
      <c r="A48" s="95" t="s">
        <v>19</v>
      </c>
      <c r="B48" s="86">
        <f>'AUSM FGD'!M71</f>
        <v>18869692</v>
      </c>
      <c r="C48" s="86"/>
      <c r="D48" s="357">
        <f>'AUSM FGD'!F71</f>
        <v>0</v>
      </c>
      <c r="E48" s="73"/>
      <c r="F48" s="73">
        <f t="shared" si="9"/>
        <v>18869692</v>
      </c>
      <c r="G48" s="351"/>
      <c r="H48" s="1048" t="s">
        <v>1396</v>
      </c>
      <c r="I48" s="1047">
        <f>ROUND(F48/$C$6,0)</f>
        <v>188697</v>
      </c>
      <c r="J48" s="351" t="s">
        <v>675</v>
      </c>
      <c r="K48" s="357">
        <f t="shared" si="10"/>
        <v>18869692</v>
      </c>
      <c r="L48" s="357"/>
      <c r="M48" s="357"/>
      <c r="N48" s="357">
        <f>K48</f>
        <v>18869692</v>
      </c>
      <c r="O48" s="357"/>
    </row>
    <row r="49" spans="1:30">
      <c r="A49" s="95" t="s">
        <v>20</v>
      </c>
      <c r="B49" s="86">
        <f>'AUSM FGD'!M72</f>
        <v>12533378</v>
      </c>
      <c r="C49" s="86"/>
      <c r="D49" s="357">
        <f>'AUSM FGD'!F72</f>
        <v>0</v>
      </c>
      <c r="E49" s="73"/>
      <c r="F49" s="73">
        <f t="shared" si="9"/>
        <v>12533378</v>
      </c>
      <c r="G49" s="351"/>
      <c r="H49" s="351"/>
      <c r="I49" s="351"/>
      <c r="J49" s="351" t="s">
        <v>676</v>
      </c>
      <c r="K49" s="357">
        <f t="shared" si="10"/>
        <v>12533378</v>
      </c>
      <c r="L49" s="357"/>
      <c r="M49" s="357"/>
      <c r="N49" s="357">
        <f>K49</f>
        <v>12533378</v>
      </c>
      <c r="O49" s="357"/>
    </row>
    <row r="50" spans="1:30">
      <c r="A50" s="95" t="s">
        <v>21</v>
      </c>
      <c r="B50" s="86">
        <f>'AUSM FGD'!M73</f>
        <v>1209635</v>
      </c>
      <c r="C50" s="86"/>
      <c r="D50" s="357">
        <f>'AUSM FGD'!F73</f>
        <v>0</v>
      </c>
      <c r="E50" s="73"/>
      <c r="F50" s="73">
        <f t="shared" si="9"/>
        <v>1209635</v>
      </c>
      <c r="G50" s="351"/>
      <c r="H50" s="351"/>
      <c r="I50" s="351"/>
      <c r="J50" s="351" t="s">
        <v>1099</v>
      </c>
      <c r="K50" s="357">
        <f t="shared" si="10"/>
        <v>1209635</v>
      </c>
      <c r="L50" s="357"/>
      <c r="M50" s="357">
        <f>K50</f>
        <v>1209635</v>
      </c>
      <c r="N50" s="357"/>
      <c r="O50" s="357"/>
    </row>
    <row r="51" spans="1:30">
      <c r="A51" s="95" t="s">
        <v>1363</v>
      </c>
      <c r="B51" s="86">
        <f>'AUSM FGD'!M74</f>
        <v>2596322</v>
      </c>
      <c r="C51" s="86"/>
      <c r="D51" s="657">
        <f>B51</f>
        <v>2596322</v>
      </c>
      <c r="E51" s="73"/>
      <c r="F51" s="73">
        <f t="shared" si="9"/>
        <v>0</v>
      </c>
      <c r="G51" s="351"/>
      <c r="H51" s="351"/>
      <c r="I51" s="351"/>
      <c r="J51" s="351" t="s">
        <v>660</v>
      </c>
      <c r="K51" s="670"/>
      <c r="L51" s="671"/>
      <c r="M51" s="671" t="s">
        <v>1095</v>
      </c>
      <c r="N51" s="671"/>
      <c r="O51" s="672"/>
    </row>
    <row r="52" spans="1:30">
      <c r="A52" s="95" t="s">
        <v>65</v>
      </c>
      <c r="B52" s="86">
        <f>'AUSM FGD'!M75</f>
        <v>1390216</v>
      </c>
      <c r="C52" s="86"/>
      <c r="D52" s="357">
        <f>'AUSM FGD'!F75</f>
        <v>0</v>
      </c>
      <c r="E52" s="73"/>
      <c r="F52" s="73">
        <f t="shared" si="9"/>
        <v>1390216</v>
      </c>
      <c r="G52" s="351"/>
      <c r="J52" s="351" t="s">
        <v>1100</v>
      </c>
      <c r="K52" s="357">
        <f t="shared" ref="K52:K53" si="11">F52</f>
        <v>1390216</v>
      </c>
      <c r="L52" s="357"/>
      <c r="M52" s="357"/>
      <c r="N52" s="357"/>
      <c r="O52" s="357">
        <f>K52</f>
        <v>1390216</v>
      </c>
    </row>
    <row r="53" spans="1:30" ht="13.5" thickBot="1">
      <c r="A53" s="74" t="s">
        <v>47</v>
      </c>
      <c r="B53" s="86">
        <f>'AUSM FGD'!M76</f>
        <v>0</v>
      </c>
      <c r="C53" s="86"/>
      <c r="D53" s="357">
        <f>'AUSM FGD'!F76</f>
        <v>0</v>
      </c>
      <c r="E53" s="73"/>
      <c r="F53" s="73">
        <f t="shared" si="9"/>
        <v>0</v>
      </c>
      <c r="G53" s="24"/>
      <c r="H53" s="1048" t="s">
        <v>1397</v>
      </c>
      <c r="I53" s="1047">
        <f>ROUND(SUM(F43+F47+F49+F50+F52+F53)/$C$6,0)</f>
        <v>399079</v>
      </c>
      <c r="J53" s="572" t="s">
        <v>1022</v>
      </c>
      <c r="K53" s="357">
        <f t="shared" si="11"/>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124105457</v>
      </c>
      <c r="C54" s="48">
        <f>SUM(C42:C53)</f>
        <v>0</v>
      </c>
      <c r="D54" s="48">
        <f>SUM(D42:D53)</f>
        <v>2596322</v>
      </c>
      <c r="E54" s="698">
        <f>SUM(E43:E53)</f>
        <v>22055236</v>
      </c>
      <c r="F54" s="649">
        <f>SUM(F42:F53)</f>
        <v>99453899</v>
      </c>
      <c r="G54" s="1279" t="s">
        <v>1121</v>
      </c>
      <c r="H54" s="1280"/>
      <c r="I54" s="697" t="s">
        <v>1398</v>
      </c>
      <c r="J54" s="572" t="s">
        <v>1101</v>
      </c>
      <c r="K54" s="574">
        <f>SUM(K42:K53)</f>
        <v>99453899</v>
      </c>
      <c r="L54" s="574">
        <f t="shared" ref="L54:O54" si="12">SUM(L42:L53)</f>
        <v>65450978</v>
      </c>
      <c r="M54" s="574">
        <f t="shared" si="12"/>
        <v>1209635</v>
      </c>
      <c r="N54" s="574">
        <f t="shared" si="12"/>
        <v>31403070</v>
      </c>
      <c r="O54" s="574">
        <f t="shared" si="12"/>
        <v>1390216</v>
      </c>
    </row>
    <row r="55" spans="1:30" ht="14.25" customHeight="1" thickTop="1" thickBot="1">
      <c r="A55" s="92"/>
      <c r="C55" s="74"/>
      <c r="F55" s="575"/>
      <c r="G55" s="1281"/>
      <c r="H55" s="1282"/>
      <c r="I55" s="699">
        <f>ROUND(F54/C6,0)</f>
        <v>994539</v>
      </c>
      <c r="J55" s="1258" t="s">
        <v>1102</v>
      </c>
      <c r="K55" s="573"/>
      <c r="L55" s="573"/>
      <c r="M55" s="573"/>
      <c r="N55" s="573"/>
      <c r="O55" s="573"/>
    </row>
    <row r="56" spans="1:30" ht="16.5" customHeight="1" thickBot="1">
      <c r="A56" s="78" t="s">
        <v>23</v>
      </c>
      <c r="C56" s="74"/>
      <c r="F56" s="576"/>
      <c r="G56" s="1283"/>
      <c r="H56" s="1284"/>
      <c r="I56" s="693" t="s">
        <v>1399</v>
      </c>
      <c r="J56" s="1258"/>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'AUSM FGD'!M80</f>
        <v>-32010379</v>
      </c>
      <c r="C57" s="86"/>
      <c r="D57" s="143">
        <f>'AUSM FGD'!F80</f>
        <v>0</v>
      </c>
      <c r="E57" s="143"/>
      <c r="F57" s="1045">
        <f t="shared" ref="F57:F60" si="13">B57-(SUM(D57:E57))</f>
        <v>-32010379</v>
      </c>
      <c r="G57" s="780"/>
      <c r="I57" s="696">
        <f>ROUND($F$54/$I$8,0)</f>
        <v>1119346</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'AUSM FGD'!M81</f>
        <v>-23909155</v>
      </c>
      <c r="C58" s="86"/>
      <c r="D58" s="285">
        <f>'AUSM FGD'!F81</f>
        <v>0</v>
      </c>
      <c r="E58" s="82"/>
      <c r="F58" s="73">
        <f t="shared" si="13"/>
        <v>-23909155</v>
      </c>
      <c r="G58" s="351"/>
      <c r="J58" s="351"/>
      <c r="K58" s="578"/>
      <c r="L58" s="578"/>
      <c r="M58" s="578"/>
      <c r="N58" s="578"/>
      <c r="O58" s="578"/>
    </row>
    <row r="59" spans="1:30">
      <c r="A59" s="98" t="s">
        <v>52</v>
      </c>
      <c r="B59" s="86">
        <f>'AUSM FGD'!M82</f>
        <v>6200000</v>
      </c>
      <c r="C59" s="86"/>
      <c r="D59" s="285">
        <f>'AUSM FGD'!F82</f>
        <v>0</v>
      </c>
      <c r="E59" s="82"/>
      <c r="F59" s="73">
        <f t="shared" si="13"/>
        <v>6200000</v>
      </c>
      <c r="G59" s="24"/>
      <c r="J59" s="658"/>
      <c r="K59" s="658"/>
      <c r="L59" s="658"/>
      <c r="M59" s="658"/>
      <c r="N59" s="658"/>
      <c r="O59" s="658"/>
    </row>
    <row r="60" spans="1:30" ht="12" customHeight="1">
      <c r="A60" s="74" t="s">
        <v>43</v>
      </c>
      <c r="B60" s="86">
        <f>'AUSM FGD'!M83</f>
        <v>-22965168</v>
      </c>
      <c r="C60" s="86"/>
      <c r="D60" s="285">
        <f>'AUSM FGD'!F83</f>
        <v>-2937117</v>
      </c>
      <c r="E60" s="82"/>
      <c r="F60" s="73">
        <f t="shared" si="13"/>
        <v>-20028051</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-72684702</v>
      </c>
      <c r="C61" s="88"/>
      <c r="D61" s="88">
        <f>SUM(D57:D60)</f>
        <v>-2937117</v>
      </c>
      <c r="E61" s="88">
        <f>SUM(E57:E60)</f>
        <v>0</v>
      </c>
      <c r="F61" s="99">
        <f>SUM(F57:F60)</f>
        <v>-69747585</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'AUSM FGD'!M87</f>
        <v>706297</v>
      </c>
      <c r="C64" s="86"/>
      <c r="D64" s="143">
        <f>'AUSM FGD'!F87</f>
        <v>0</v>
      </c>
      <c r="E64" s="143"/>
      <c r="F64" s="143">
        <f t="shared" ref="F64:F65" si="14">B64-(SUM(D64:E64))</f>
        <v>706297</v>
      </c>
      <c r="O64" s="51"/>
    </row>
    <row r="65" spans="1:30">
      <c r="A65" s="74" t="s">
        <v>45</v>
      </c>
      <c r="B65" s="86">
        <f>'AUSM FGD'!M88</f>
        <v>2264242</v>
      </c>
      <c r="C65" s="86"/>
      <c r="D65" s="285">
        <f>'AUSM FGD'!F88</f>
        <v>0</v>
      </c>
      <c r="E65" s="82"/>
      <c r="F65" s="73">
        <f t="shared" si="14"/>
        <v>2264242</v>
      </c>
      <c r="O65" s="51"/>
      <c r="P65" s="89"/>
      <c r="Q65" s="89"/>
      <c r="R65" s="89"/>
      <c r="S65" s="89"/>
      <c r="T65" s="89"/>
      <c r="U65" s="89"/>
      <c r="V65" s="89"/>
      <c r="W65" s="89"/>
      <c r="X65" s="89"/>
      <c r="Y65" s="89"/>
      <c r="Z65" s="89"/>
      <c r="AA65" s="89"/>
      <c r="AB65" s="89"/>
      <c r="AC65" s="89"/>
      <c r="AD65" s="89"/>
    </row>
    <row r="66" spans="1:30" s="92" customFormat="1">
      <c r="A66" s="87" t="s">
        <v>3</v>
      </c>
      <c r="B66" s="88">
        <f>SUM(B64:B65)</f>
        <v>2970539</v>
      </c>
      <c r="C66" s="88"/>
      <c r="D66" s="88">
        <f>SUM(D64:D65)</f>
        <v>0</v>
      </c>
      <c r="E66" s="88">
        <f>SUM(E64:E65)</f>
        <v>0</v>
      </c>
      <c r="F66" s="88">
        <f>SUM(F64:F65)</f>
        <v>2970539</v>
      </c>
      <c r="G66" s="51"/>
      <c r="H66" s="51"/>
      <c r="I66" s="51"/>
      <c r="J66" s="51"/>
      <c r="K66" s="51"/>
      <c r="L66" s="51"/>
      <c r="M66" s="51"/>
      <c r="N66" s="51"/>
      <c r="O66" s="51"/>
    </row>
    <row r="67" spans="1:30">
      <c r="C67" s="74"/>
      <c r="O67" s="51"/>
    </row>
    <row r="68" spans="1:30" ht="13.5" thickBot="1">
      <c r="A68" s="100" t="s">
        <v>616</v>
      </c>
      <c r="B68" s="49">
        <f>B39-B54+B61+B66</f>
        <v>-73219401</v>
      </c>
      <c r="C68" s="49"/>
      <c r="D68" s="49">
        <f>D39-D54+D61+D66</f>
        <v>-2381361</v>
      </c>
      <c r="E68" s="49">
        <f>E39-E54+E61+E66</f>
        <v>-19711350</v>
      </c>
      <c r="F68" s="49">
        <f>F39-F54+F61+F66</f>
        <v>-51126690</v>
      </c>
      <c r="O68" s="51"/>
    </row>
    <row r="69" spans="1:30" ht="13.5" thickTop="1"/>
    <row r="70" spans="1:30">
      <c r="A70" s="51" t="s">
        <v>1109</v>
      </c>
      <c r="D70" s="143"/>
    </row>
    <row r="71" spans="1:30">
      <c r="A71" s="74" t="s">
        <v>51</v>
      </c>
    </row>
    <row r="72" spans="1:30">
      <c r="B72" s="659">
        <f>'AUSM FGD'!$M$91</f>
        <v>-73219401</v>
      </c>
      <c r="C72" s="74"/>
      <c r="D72" s="659">
        <f>'AUSM FGD'!F91</f>
        <v>-2381361</v>
      </c>
      <c r="E72" s="659">
        <f>'AUSM FGD'!M50</f>
        <v>2343886</v>
      </c>
      <c r="F72" s="74"/>
    </row>
    <row r="73" spans="1:30">
      <c r="B73" s="659"/>
      <c r="C73" s="74"/>
      <c r="D73" s="659">
        <f>'AUSM FGD'!F74</f>
        <v>2596322</v>
      </c>
      <c r="E73" s="659">
        <f>'AUSM FGD'!M53</f>
        <v>0</v>
      </c>
      <c r="F73" s="659"/>
    </row>
    <row r="74" spans="1:30">
      <c r="B74" s="676"/>
      <c r="C74" s="92"/>
      <c r="D74" s="676">
        <f>-'AUSM FGD'!M74</f>
        <v>-2596322</v>
      </c>
      <c r="E74" s="659">
        <f>-'AUSM FGD'!M68</f>
        <v>-18740043</v>
      </c>
      <c r="F74" s="659"/>
    </row>
    <row r="75" spans="1:30">
      <c r="B75" s="676"/>
      <c r="C75" s="74"/>
      <c r="D75" s="676"/>
      <c r="E75" s="676">
        <f>-'AUSM FGD'!M67</f>
        <v>-3315193</v>
      </c>
      <c r="F75" s="659"/>
      <c r="G75" s="351"/>
      <c r="H75" s="351"/>
    </row>
    <row r="76" spans="1:30" ht="12.75" customHeight="1">
      <c r="B76" s="675"/>
      <c r="C76" s="74"/>
      <c r="D76" s="675"/>
      <c r="E76" s="675">
        <f>-D26</f>
        <v>0</v>
      </c>
      <c r="F76" s="659"/>
      <c r="G76" s="351"/>
      <c r="H76" s="351"/>
    </row>
    <row r="77" spans="1:30" ht="12.75" customHeight="1">
      <c r="B77" s="659">
        <f>SUM(B72:B76)</f>
        <v>-73219401</v>
      </c>
      <c r="C77" s="74"/>
      <c r="D77" s="659">
        <f>SUM(D72:D76)</f>
        <v>-2381361</v>
      </c>
      <c r="E77" s="659">
        <f>SUM(E72:E76)</f>
        <v>-19711350</v>
      </c>
      <c r="F77" s="659">
        <f>B77-D77-E77</f>
        <v>-51126690</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-73219401</v>
      </c>
      <c r="C80" s="74"/>
      <c r="D80" s="659">
        <f>SUM(D77:D79)</f>
        <v>-2381361</v>
      </c>
      <c r="E80" s="659">
        <f>SUM(E77:E79)</f>
        <v>-19711350</v>
      </c>
      <c r="F80" s="659">
        <f>SUM(F77:F79)</f>
        <v>-51126690</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5:O35"/>
    <mergeCell ref="F1:I1"/>
    <mergeCell ref="J1:O1"/>
    <mergeCell ref="D4:D5"/>
    <mergeCell ref="E4:E5"/>
    <mergeCell ref="K36:O36"/>
    <mergeCell ref="K37:K40"/>
    <mergeCell ref="L37:L40"/>
    <mergeCell ref="M37:M40"/>
    <mergeCell ref="N37:N40"/>
    <mergeCell ref="O37:O40"/>
    <mergeCell ref="G38:H38"/>
    <mergeCell ref="G39:H39"/>
    <mergeCell ref="K45:O45"/>
    <mergeCell ref="J55:J56"/>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3"/>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'AUSM Chts'!$A$1</f>
        <v>The University of Texas at Austin Medical School (M)</v>
      </c>
      <c r="C2" s="1273"/>
      <c r="D2" s="1273"/>
      <c r="E2" s="1273"/>
      <c r="F2" s="1273"/>
      <c r="H2" s="174"/>
      <c r="I2" s="149" t="str">
        <f>IF($B$2&lt;&gt;Input!$H$17,"Name Mismatch","")</f>
        <v/>
      </c>
      <c r="J2" s="182"/>
      <c r="K2" s="182"/>
      <c r="L2" s="182"/>
      <c r="M2" s="175"/>
      <c r="O2" s="737" t="s">
        <v>1123</v>
      </c>
      <c r="P2" s="294"/>
    </row>
    <row r="3" spans="1:28" ht="20.25">
      <c r="A3" s="173">
        <v>2</v>
      </c>
      <c r="B3" s="1273" t="str">
        <f>'Smmy Chts'!$A$2</f>
        <v>For the Year Ended August 31, 2018</v>
      </c>
      <c r="C3" s="1273"/>
      <c r="D3" s="1273"/>
      <c r="E3" s="1273"/>
      <c r="F3" s="1273"/>
      <c r="G3" s="174"/>
      <c r="H3" s="174"/>
      <c r="I3" s="182"/>
      <c r="J3" s="182"/>
      <c r="K3" s="182"/>
      <c r="L3" s="182"/>
      <c r="M3" s="175"/>
      <c r="O3" s="73"/>
    </row>
    <row r="4" spans="1:28" ht="20.25">
      <c r="A4" s="173">
        <v>3</v>
      </c>
      <c r="B4" s="1273" t="str">
        <f>'Smmy Chts'!$A$3</f>
        <v>Source: FY 2018 Annual Financial Report</v>
      </c>
      <c r="C4" s="1273"/>
      <c r="D4" s="1273"/>
      <c r="E4" s="1273"/>
      <c r="F4" s="1273"/>
      <c r="G4" s="174"/>
      <c r="H4" s="174"/>
      <c r="I4" s="182"/>
      <c r="J4" s="182"/>
      <c r="K4" s="182"/>
      <c r="L4" s="182"/>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Input!$M$17</f>
        <v>6071343</v>
      </c>
      <c r="E10" s="355">
        <f>Input!$N$17</f>
        <v>0</v>
      </c>
      <c r="F10" s="355">
        <f>Input!$O$17</f>
        <v>0</v>
      </c>
      <c r="G10" s="355">
        <f>Input!$P$17</f>
        <v>0</v>
      </c>
      <c r="H10" s="355">
        <f>Input!$Q$17</f>
        <v>0</v>
      </c>
      <c r="I10" s="355">
        <f>Input!$R$17</f>
        <v>0</v>
      </c>
      <c r="J10" s="355">
        <f>Input!$S$17</f>
        <v>0</v>
      </c>
      <c r="K10" s="355">
        <f>Input!$T$17</f>
        <v>0</v>
      </c>
      <c r="L10" s="355">
        <f>Input!$U$17</f>
        <v>0</v>
      </c>
      <c r="M10" s="357">
        <f t="shared" ref="M10:M15" si="0">D10+E10+F10+G10+H10+I10+J10+K10+L10</f>
        <v>6071343</v>
      </c>
      <c r="O10" s="184"/>
      <c r="P10" s="1308" t="s">
        <v>595</v>
      </c>
      <c r="Q10" s="50"/>
      <c r="R10" s="50"/>
      <c r="S10" s="50"/>
      <c r="T10" s="183"/>
      <c r="U10" s="183"/>
      <c r="V10" s="50"/>
      <c r="W10" s="50"/>
      <c r="X10" s="50"/>
      <c r="Y10" s="50"/>
      <c r="Z10" s="50"/>
      <c r="AA10" s="50"/>
      <c r="AB10" s="50"/>
    </row>
    <row r="11" spans="1:28" s="149" customFormat="1">
      <c r="A11" s="147">
        <v>10</v>
      </c>
      <c r="B11" s="149" t="s">
        <v>2</v>
      </c>
      <c r="D11" s="355">
        <f>Input!$V$17</f>
        <v>0</v>
      </c>
      <c r="E11" s="355">
        <f>Input!$W$17</f>
        <v>1430606</v>
      </c>
      <c r="F11" s="355">
        <f>Input!$X$17</f>
        <v>0</v>
      </c>
      <c r="G11" s="355">
        <f>Input!$Y$17</f>
        <v>1256657</v>
      </c>
      <c r="H11" s="355">
        <f>Input!$Z$17</f>
        <v>0</v>
      </c>
      <c r="I11" s="355">
        <f>Input!$AA$17</f>
        <v>0</v>
      </c>
      <c r="J11" s="355">
        <f>Input!$AB$17</f>
        <v>0</v>
      </c>
      <c r="K11" s="355">
        <f>Input!$AC$17</f>
        <v>0</v>
      </c>
      <c r="L11" s="355">
        <f>Input!$AD$17</f>
        <v>0</v>
      </c>
      <c r="M11" s="357">
        <f t="shared" si="0"/>
        <v>2687263</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Input!$AN$17</f>
        <v>0</v>
      </c>
      <c r="E13" s="355">
        <f>Input!$AO$17</f>
        <v>0</v>
      </c>
      <c r="F13" s="355">
        <f>Input!$AP$17</f>
        <v>0</v>
      </c>
      <c r="G13" s="355">
        <f>Input!$AQ$17</f>
        <v>0</v>
      </c>
      <c r="H13" s="355">
        <f>Input!$AR$17</f>
        <v>0</v>
      </c>
      <c r="I13" s="355">
        <f>Input!$AS$17</f>
        <v>0</v>
      </c>
      <c r="J13" s="355">
        <f>Input!$AT$17</f>
        <v>0</v>
      </c>
      <c r="K13" s="355">
        <f>Input!$AU$17</f>
        <v>0</v>
      </c>
      <c r="L13" s="355">
        <f>Input!$AV$17</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Input!$AW$17</f>
        <v>24977265</v>
      </c>
      <c r="E14" s="355">
        <f>Input!$AX$17</f>
        <v>0</v>
      </c>
      <c r="F14" s="355">
        <f>Input!$AY$17</f>
        <v>0</v>
      </c>
      <c r="G14" s="355">
        <f>Input!$AZ$17</f>
        <v>0</v>
      </c>
      <c r="H14" s="355">
        <f>Input!$BA$17</f>
        <v>0</v>
      </c>
      <c r="I14" s="355">
        <f>Input!$BB$17</f>
        <v>0</v>
      </c>
      <c r="J14" s="355">
        <f>Input!$BC$17</f>
        <v>0</v>
      </c>
      <c r="K14" s="355">
        <f>Input!$BD$17</f>
        <v>0</v>
      </c>
      <c r="L14" s="355">
        <f>Input!$BE$17</f>
        <v>0</v>
      </c>
      <c r="M14" s="357">
        <f t="shared" si="0"/>
        <v>24977265</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31048608</v>
      </c>
      <c r="E15" s="356">
        <f t="shared" ref="E15:L15" si="1">SUM(E10:E14)</f>
        <v>1430606</v>
      </c>
      <c r="F15" s="356">
        <f t="shared" si="1"/>
        <v>0</v>
      </c>
      <c r="G15" s="356">
        <f t="shared" si="1"/>
        <v>1256657</v>
      </c>
      <c r="H15" s="356">
        <f t="shared" si="1"/>
        <v>0</v>
      </c>
      <c r="I15" s="356">
        <f t="shared" si="1"/>
        <v>0</v>
      </c>
      <c r="J15" s="356">
        <f t="shared" si="1"/>
        <v>0</v>
      </c>
      <c r="K15" s="356">
        <f t="shared" si="1"/>
        <v>0</v>
      </c>
      <c r="L15" s="356">
        <f t="shared" si="1"/>
        <v>0</v>
      </c>
      <c r="M15" s="356">
        <f t="shared" si="0"/>
        <v>33735871</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934738</v>
      </c>
      <c r="E18" s="356">
        <f t="shared" si="2"/>
        <v>1362879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2297617</v>
      </c>
      <c r="V18" s="342"/>
      <c r="X18" s="326"/>
    </row>
    <row r="19" spans="1:26" s="50" customFormat="1" ht="12.75" customHeight="1" thickTop="1" thickBot="1">
      <c r="A19" s="293"/>
      <c r="B19" s="51" t="s">
        <v>638</v>
      </c>
      <c r="C19" s="51"/>
      <c r="D19" s="355">
        <f>Input!$BF$17</f>
        <v>0</v>
      </c>
      <c r="E19" s="355">
        <f>Input!$BG$17</f>
        <v>0</v>
      </c>
      <c r="F19" s="355">
        <f>Input!$BH$17</f>
        <v>0</v>
      </c>
      <c r="G19" s="355">
        <f>Input!$BI$17</f>
        <v>0</v>
      </c>
      <c r="H19" s="355">
        <f>Input!$BJ$17</f>
        <v>0</v>
      </c>
      <c r="I19" s="355">
        <f>Input!BK6</f>
        <v>0</v>
      </c>
      <c r="J19" s="355">
        <f>Input!$BL$17</f>
        <v>0</v>
      </c>
      <c r="K19" s="355">
        <f>Input!BM6</f>
        <v>0</v>
      </c>
      <c r="L19" s="355">
        <f>Input!BN6</f>
        <v>0</v>
      </c>
      <c r="M19" s="357">
        <f t="shared" si="3"/>
        <v>0</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Input!$BO$17</f>
        <v>0</v>
      </c>
      <c r="E20" s="355">
        <f>Input!$BP$17</f>
        <v>0</v>
      </c>
      <c r="F20" s="355">
        <f>Input!$BQ$17</f>
        <v>0</v>
      </c>
      <c r="G20" s="355">
        <f>Input!$BR$17</f>
        <v>0</v>
      </c>
      <c r="H20" s="355">
        <f>Input!$BS$17</f>
        <v>0</v>
      </c>
      <c r="I20" s="355">
        <f>Input!$BT$17</f>
        <v>0</v>
      </c>
      <c r="J20" s="355">
        <f>Input!BU6</f>
        <v>0</v>
      </c>
      <c r="K20" s="355">
        <f>Input!BV6</f>
        <v>0</v>
      </c>
      <c r="L20" s="355">
        <f>Input!$BW$17</f>
        <v>0</v>
      </c>
      <c r="M20" s="357">
        <f t="shared" si="3"/>
        <v>0</v>
      </c>
      <c r="O20" s="414" t="s">
        <v>215</v>
      </c>
      <c r="P20" s="415"/>
      <c r="Q20" s="416"/>
      <c r="R20" s="416"/>
      <c r="S20" s="537"/>
      <c r="U20" s="538" t="s">
        <v>997</v>
      </c>
      <c r="V20" s="296"/>
      <c r="W20" s="296"/>
      <c r="Y20" s="420"/>
    </row>
    <row r="21" spans="1:26" s="50" customFormat="1">
      <c r="A21" s="293"/>
      <c r="B21" s="51" t="s">
        <v>640</v>
      </c>
      <c r="C21" s="51"/>
      <c r="D21" s="355">
        <f>Input!$BX$17</f>
        <v>0</v>
      </c>
      <c r="E21" s="355">
        <f>Input!$BY$17</f>
        <v>0</v>
      </c>
      <c r="F21" s="355">
        <f>Input!$BZ$17</f>
        <v>0</v>
      </c>
      <c r="G21" s="355">
        <f>Input!$CA$17</f>
        <v>0</v>
      </c>
      <c r="H21" s="355">
        <f>Input!$CB$17</f>
        <v>0</v>
      </c>
      <c r="I21" s="355">
        <f>Input!$CC$17</f>
        <v>0</v>
      </c>
      <c r="J21" s="355">
        <f>Input!$CD$17</f>
        <v>0</v>
      </c>
      <c r="K21" s="355">
        <f>Input!$CE$17</f>
        <v>0</v>
      </c>
      <c r="L21" s="355">
        <f>Input!$CF$17</f>
        <v>0</v>
      </c>
      <c r="M21" s="357">
        <f t="shared" si="3"/>
        <v>0</v>
      </c>
      <c r="O21" s="430"/>
      <c r="R21" s="347"/>
      <c r="S21" s="539"/>
      <c r="U21" s="621" t="s">
        <v>998</v>
      </c>
      <c r="V21" s="296"/>
      <c r="W21" s="296"/>
      <c r="X21" s="622">
        <f>M44</f>
        <v>2537661</v>
      </c>
      <c r="Y21" s="420"/>
      <c r="Z21" s="326"/>
    </row>
    <row r="22" spans="1:26" s="50" customFormat="1">
      <c r="A22" s="293"/>
      <c r="B22" s="51" t="s">
        <v>641</v>
      </c>
      <c r="C22" s="51"/>
      <c r="D22" s="355">
        <f>Input!$CG$17</f>
        <v>0</v>
      </c>
      <c r="E22" s="355">
        <f>Input!$CH$17</f>
        <v>0</v>
      </c>
      <c r="F22" s="355">
        <f>Input!$CI$17</f>
        <v>0</v>
      </c>
      <c r="G22" s="355">
        <f>Input!$CJ$17</f>
        <v>0</v>
      </c>
      <c r="H22" s="355">
        <f>Input!$CK$17</f>
        <v>0</v>
      </c>
      <c r="I22" s="355">
        <f>Input!$CL$17</f>
        <v>0</v>
      </c>
      <c r="J22" s="355">
        <f>Input!$CM$17</f>
        <v>0</v>
      </c>
      <c r="K22" s="355">
        <f>Input!$CN$17</f>
        <v>0</v>
      </c>
      <c r="L22" s="355">
        <f>Input!$CO$17</f>
        <v>0</v>
      </c>
      <c r="M22" s="357">
        <f t="shared" si="3"/>
        <v>0</v>
      </c>
      <c r="N22" s="299"/>
      <c r="O22" s="430" t="s">
        <v>999</v>
      </c>
      <c r="P22" s="305"/>
      <c r="Q22" s="419">
        <f>M23</f>
        <v>2297617</v>
      </c>
      <c r="S22" s="540"/>
      <c r="U22" s="621" t="s">
        <v>1000</v>
      </c>
      <c r="V22" s="296"/>
      <c r="W22" s="296"/>
      <c r="X22" s="623">
        <f>R30*-1</f>
        <v>334203</v>
      </c>
      <c r="Y22" s="420"/>
    </row>
    <row r="23" spans="1:26" s="50" customFormat="1" ht="12.75" customHeight="1">
      <c r="A23" s="293"/>
      <c r="B23" s="536" t="s">
        <v>642</v>
      </c>
      <c r="C23" s="179"/>
      <c r="D23" s="541">
        <f>Input!$CP$17</f>
        <v>934738</v>
      </c>
      <c r="E23" s="541">
        <f>Input!$CQ$17</f>
        <v>1362879</v>
      </c>
      <c r="F23" s="541">
        <f>Input!$CR$17</f>
        <v>0</v>
      </c>
      <c r="G23" s="541">
        <f>Input!$CS$17</f>
        <v>0</v>
      </c>
      <c r="H23" s="541">
        <f>Input!$CT$17</f>
        <v>0</v>
      </c>
      <c r="I23" s="541">
        <f>Input!$CU$17</f>
        <v>0</v>
      </c>
      <c r="J23" s="541">
        <f>Input!$CV$17</f>
        <v>0</v>
      </c>
      <c r="K23" s="541">
        <f>Input!$CW$17</f>
        <v>0</v>
      </c>
      <c r="L23" s="541">
        <f>Input!$CX$17</f>
        <v>0</v>
      </c>
      <c r="M23" s="542">
        <f t="shared" si="3"/>
        <v>2297617</v>
      </c>
      <c r="O23" s="430"/>
      <c r="P23" s="305"/>
      <c r="Q23" s="419"/>
      <c r="S23" s="540"/>
      <c r="U23" s="538" t="s">
        <v>1185</v>
      </c>
      <c r="V23" s="296"/>
      <c r="W23" s="296"/>
      <c r="X23" s="305"/>
      <c r="Y23" s="420">
        <f>SUM(X21:X22)</f>
        <v>2871864</v>
      </c>
      <c r="Z23" s="326"/>
    </row>
    <row r="24" spans="1:26" s="50" customFormat="1" ht="12.75" customHeight="1">
      <c r="A24" s="293"/>
      <c r="B24" s="51" t="s">
        <v>643</v>
      </c>
      <c r="C24" s="180"/>
      <c r="D24" s="355">
        <f>Input!$CY$17</f>
        <v>0</v>
      </c>
      <c r="E24" s="355">
        <f>Input!$CZ$17</f>
        <v>0</v>
      </c>
      <c r="F24" s="355">
        <f>Input!$DA$17</f>
        <v>0</v>
      </c>
      <c r="G24" s="355">
        <f>Input!$DB$17</f>
        <v>0</v>
      </c>
      <c r="H24" s="355">
        <f>Input!$DC$17</f>
        <v>0</v>
      </c>
      <c r="I24" s="355">
        <f>Input!$DD$17</f>
        <v>0</v>
      </c>
      <c r="J24" s="355">
        <f>Input!$DE$17</f>
        <v>0</v>
      </c>
      <c r="K24" s="355">
        <f>Input!$DF$17</f>
        <v>0</v>
      </c>
      <c r="L24" s="355">
        <f>Input!$DG$17</f>
        <v>0</v>
      </c>
      <c r="M24" s="543">
        <f t="shared" si="3"/>
        <v>0</v>
      </c>
      <c r="O24" s="418" t="s">
        <v>1001</v>
      </c>
      <c r="P24" s="305"/>
      <c r="Q24" s="342"/>
      <c r="R24" s="342">
        <f>SUM(M24:M28)</f>
        <v>-207731</v>
      </c>
      <c r="S24" s="540"/>
      <c r="U24" s="538"/>
      <c r="V24" s="296"/>
      <c r="W24" s="296"/>
      <c r="Y24" s="420"/>
      <c r="Z24" s="326"/>
    </row>
    <row r="25" spans="1:26" s="50" customFormat="1" ht="12.75" customHeight="1">
      <c r="A25" s="293"/>
      <c r="B25" s="51" t="s">
        <v>644</v>
      </c>
      <c r="C25" s="180"/>
      <c r="D25" s="355">
        <f>Input!$DH$17</f>
        <v>0</v>
      </c>
      <c r="E25" s="355">
        <f>Input!$DI$17</f>
        <v>0</v>
      </c>
      <c r="F25" s="355">
        <f>Input!$DJ$17</f>
        <v>0</v>
      </c>
      <c r="G25" s="355">
        <f>Input!$DK$17</f>
        <v>0</v>
      </c>
      <c r="H25" s="355">
        <f>Input!$DL$17</f>
        <v>0</v>
      </c>
      <c r="I25" s="355">
        <f>Input!$DM$17</f>
        <v>0</v>
      </c>
      <c r="J25" s="355">
        <f>Input!$DN$17</f>
        <v>0</v>
      </c>
      <c r="K25" s="355">
        <f>Input!$DO$17</f>
        <v>0</v>
      </c>
      <c r="L25" s="355">
        <f>Input!$DP$17</f>
        <v>0</v>
      </c>
      <c r="M25" s="543">
        <f t="shared" si="3"/>
        <v>0</v>
      </c>
      <c r="O25" s="430"/>
      <c r="P25" s="305"/>
      <c r="Q25" s="342"/>
      <c r="R25" s="342"/>
      <c r="S25" s="540"/>
      <c r="U25" s="544" t="s">
        <v>1045</v>
      </c>
      <c r="V25" s="545"/>
      <c r="W25" s="545"/>
      <c r="X25" s="624">
        <f>(M26+M39)*-1</f>
        <v>0</v>
      </c>
      <c r="Y25" s="420"/>
      <c r="Z25" s="326"/>
    </row>
    <row r="26" spans="1:26" s="50" customFormat="1" ht="12.75" customHeight="1">
      <c r="A26" s="293"/>
      <c r="B26" s="51" t="s">
        <v>645</v>
      </c>
      <c r="C26" s="180"/>
      <c r="D26" s="355">
        <f>Input!$DQ$17</f>
        <v>0</v>
      </c>
      <c r="E26" s="355">
        <f>Input!$DR$17</f>
        <v>0</v>
      </c>
      <c r="F26" s="355">
        <f>Input!$DS$17</f>
        <v>0</v>
      </c>
      <c r="G26" s="355">
        <f>Input!$DT$17</f>
        <v>0</v>
      </c>
      <c r="H26" s="355">
        <f>Input!$DU$17</f>
        <v>0</v>
      </c>
      <c r="I26" s="355">
        <f>Input!$DV$17</f>
        <v>0</v>
      </c>
      <c r="J26" s="355">
        <f>Input!$DW$17</f>
        <v>0</v>
      </c>
      <c r="K26" s="355">
        <f>Input!$DX$17</f>
        <v>0</v>
      </c>
      <c r="L26" s="355">
        <f>Input!$DY$17</f>
        <v>0</v>
      </c>
      <c r="M26" s="543">
        <f t="shared" si="3"/>
        <v>0</v>
      </c>
      <c r="O26" s="430" t="s">
        <v>1002</v>
      </c>
      <c r="P26" s="305"/>
      <c r="Q26" s="422">
        <f>M36</f>
        <v>574247</v>
      </c>
      <c r="R26" s="423"/>
      <c r="S26" s="546"/>
      <c r="U26" s="538" t="s">
        <v>1046</v>
      </c>
      <c r="V26" s="296"/>
      <c r="W26" s="296"/>
      <c r="X26" s="547">
        <f>(M21+M34)*-1</f>
        <v>0</v>
      </c>
      <c r="Y26" s="420"/>
      <c r="Z26" s="326"/>
    </row>
    <row r="27" spans="1:26" s="50" customFormat="1">
      <c r="A27" s="293"/>
      <c r="B27" s="51" t="s">
        <v>646</v>
      </c>
      <c r="C27" s="180"/>
      <c r="D27" s="355">
        <f>Input!$DZ$17</f>
        <v>0</v>
      </c>
      <c r="E27" s="355">
        <f>Input!$EA$17</f>
        <v>0</v>
      </c>
      <c r="F27" s="355">
        <f>Input!$EB$17</f>
        <v>0</v>
      </c>
      <c r="G27" s="355">
        <f>Input!$EC$17</f>
        <v>0</v>
      </c>
      <c r="H27" s="355">
        <f>Input!$ED$17</f>
        <v>0</v>
      </c>
      <c r="I27" s="355">
        <f>Input!$EE$17</f>
        <v>0</v>
      </c>
      <c r="J27" s="355">
        <f>Input!$EF$17</f>
        <v>0</v>
      </c>
      <c r="K27" s="355">
        <f>Input!$EG$17</f>
        <v>0</v>
      </c>
      <c r="L27" s="355">
        <f>Input!$EH$17</f>
        <v>0</v>
      </c>
      <c r="M27" s="543">
        <f t="shared" si="3"/>
        <v>0</v>
      </c>
      <c r="O27" s="430"/>
      <c r="P27" s="305"/>
      <c r="Q27" s="422"/>
      <c r="R27" s="423"/>
      <c r="S27" s="546"/>
      <c r="U27" s="621" t="s">
        <v>1047</v>
      </c>
      <c r="V27" s="221"/>
      <c r="W27" s="221"/>
      <c r="X27" s="625">
        <f>SUM(X25:X26)</f>
        <v>0</v>
      </c>
      <c r="Y27" s="626"/>
    </row>
    <row r="28" spans="1:26" s="50" customFormat="1">
      <c r="A28" s="293"/>
      <c r="B28" s="51" t="s">
        <v>1361</v>
      </c>
      <c r="C28" s="180"/>
      <c r="D28" s="355">
        <f>Input!$EI$17</f>
        <v>-207731</v>
      </c>
      <c r="E28" s="355">
        <f>Input!$EJ$17</f>
        <v>0</v>
      </c>
      <c r="F28" s="355">
        <f>Input!$EK$17</f>
        <v>0</v>
      </c>
      <c r="G28" s="355">
        <f>Input!$EL$17</f>
        <v>0</v>
      </c>
      <c r="H28" s="355">
        <f>Input!$EM$17</f>
        <v>0</v>
      </c>
      <c r="I28" s="355">
        <f>Input!$EN$17</f>
        <v>0</v>
      </c>
      <c r="J28" s="355">
        <f>Input!$EO$17</f>
        <v>0</v>
      </c>
      <c r="K28" s="355">
        <f>Input!$EP$17</f>
        <v>0</v>
      </c>
      <c r="L28" s="355">
        <f>Input!$EQ$17</f>
        <v>0</v>
      </c>
      <c r="M28" s="543">
        <f t="shared" si="3"/>
        <v>-207731</v>
      </c>
      <c r="O28" s="418" t="s">
        <v>1003</v>
      </c>
      <c r="Q28" s="425"/>
      <c r="R28" s="342">
        <f>SUM(M37:M41)</f>
        <v>-126472</v>
      </c>
      <c r="S28" s="540"/>
      <c r="U28" s="538" t="s">
        <v>1048</v>
      </c>
      <c r="V28" s="296"/>
      <c r="W28" s="296"/>
      <c r="X28" s="420">
        <f>(M27+M40)*-1</f>
        <v>0</v>
      </c>
      <c r="Y28" s="626"/>
      <c r="Z28" s="326"/>
    </row>
    <row r="29" spans="1:26" s="50" customFormat="1" ht="12" customHeight="1">
      <c r="A29" s="293"/>
      <c r="B29" s="551" t="s">
        <v>37</v>
      </c>
      <c r="C29" s="179"/>
      <c r="D29" s="356">
        <f t="shared" ref="D29:L29" si="4">SUM(D23:D28)</f>
        <v>727007</v>
      </c>
      <c r="E29" s="356">
        <f t="shared" si="4"/>
        <v>1362879</v>
      </c>
      <c r="F29" s="356">
        <f t="shared" si="4"/>
        <v>0</v>
      </c>
      <c r="G29" s="356">
        <f t="shared" si="4"/>
        <v>0</v>
      </c>
      <c r="H29" s="356">
        <f t="shared" si="4"/>
        <v>0</v>
      </c>
      <c r="I29" s="356">
        <f t="shared" si="4"/>
        <v>0</v>
      </c>
      <c r="J29" s="356">
        <f t="shared" si="4"/>
        <v>0</v>
      </c>
      <c r="K29" s="356">
        <f t="shared" si="4"/>
        <v>0</v>
      </c>
      <c r="L29" s="356">
        <f t="shared" si="4"/>
        <v>0</v>
      </c>
      <c r="M29" s="356">
        <f t="shared" si="3"/>
        <v>2089886</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2871864</v>
      </c>
      <c r="R30" s="429">
        <f>R28+R24</f>
        <v>-334203</v>
      </c>
      <c r="S30" s="553"/>
      <c r="U30" s="621" t="s">
        <v>1050</v>
      </c>
      <c r="V30" s="221"/>
      <c r="W30" s="221"/>
      <c r="X30" s="625">
        <f>SUM(X28:X29)</f>
        <v>0</v>
      </c>
      <c r="Y30" s="626"/>
    </row>
    <row r="31" spans="1:26" s="50" customFormat="1" ht="12.75" customHeight="1">
      <c r="A31" s="293"/>
      <c r="B31" s="536" t="s">
        <v>1005</v>
      </c>
      <c r="C31" s="536"/>
      <c r="D31" s="356">
        <f t="shared" ref="D31:L31" si="5">D36-SUM(D32:D35)</f>
        <v>0</v>
      </c>
      <c r="E31" s="356">
        <f t="shared" si="5"/>
        <v>574247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574247</v>
      </c>
      <c r="O31" s="430" t="s">
        <v>217</v>
      </c>
      <c r="P31" s="305"/>
      <c r="Q31" s="349"/>
      <c r="R31" s="305"/>
      <c r="S31" s="540"/>
      <c r="U31" s="548" t="s">
        <v>1051</v>
      </c>
      <c r="V31" s="549"/>
      <c r="W31" s="549"/>
      <c r="X31" s="550">
        <f>X27+X30</f>
        <v>0</v>
      </c>
      <c r="Y31" s="420"/>
      <c r="Z31" s="326"/>
    </row>
    <row r="32" spans="1:26" s="50" customFormat="1" ht="12.75" customHeight="1">
      <c r="A32" s="293"/>
      <c r="B32" s="51" t="s">
        <v>638</v>
      </c>
      <c r="C32" s="51"/>
      <c r="D32" s="355">
        <f>Input!$ER$17</f>
        <v>0</v>
      </c>
      <c r="E32" s="355">
        <f>Input!$ES$17</f>
        <v>0</v>
      </c>
      <c r="F32" s="355">
        <f>Input!$ET$17</f>
        <v>0</v>
      </c>
      <c r="G32" s="355">
        <f>Input!$EU$17</f>
        <v>0</v>
      </c>
      <c r="H32" s="355">
        <f>Input!$EV$17</f>
        <v>0</v>
      </c>
      <c r="I32" s="355">
        <f>Input!$EW$17</f>
        <v>0</v>
      </c>
      <c r="J32" s="355">
        <f>Input!$EX$17</f>
        <v>0</v>
      </c>
      <c r="K32" s="355">
        <f>Input!$EY$17</f>
        <v>0</v>
      </c>
      <c r="L32" s="355">
        <f>Input!$EZ$17</f>
        <v>0</v>
      </c>
      <c r="M32" s="543">
        <f t="shared" si="6"/>
        <v>0</v>
      </c>
      <c r="O32" s="431" t="s">
        <v>1245</v>
      </c>
      <c r="P32" s="432"/>
      <c r="Q32" s="433">
        <f>Input!$TI$17</f>
        <v>2871864</v>
      </c>
      <c r="R32" s="432"/>
      <c r="S32" s="554"/>
      <c r="U32" s="538"/>
      <c r="V32" s="296"/>
      <c r="W32" s="296"/>
      <c r="Y32" s="420"/>
      <c r="Z32" s="326"/>
    </row>
    <row r="33" spans="1:28" s="50" customFormat="1">
      <c r="A33" s="293"/>
      <c r="B33" s="51" t="s">
        <v>639</v>
      </c>
      <c r="C33" s="51"/>
      <c r="D33" s="355">
        <f>Input!$FA$17</f>
        <v>0</v>
      </c>
      <c r="E33" s="355">
        <f>Input!$FB$17</f>
        <v>0</v>
      </c>
      <c r="F33" s="355">
        <f>Input!$FC$17</f>
        <v>0</v>
      </c>
      <c r="G33" s="355">
        <f>Input!$FD$17</f>
        <v>0</v>
      </c>
      <c r="H33" s="355">
        <f>Input!$FE$17</f>
        <v>0</v>
      </c>
      <c r="I33" s="355">
        <f>Input!$FF$17</f>
        <v>0</v>
      </c>
      <c r="J33" s="355">
        <f>Input!$FG$17</f>
        <v>0</v>
      </c>
      <c r="K33" s="355">
        <f>Input!$FH$17</f>
        <v>0</v>
      </c>
      <c r="L33" s="355">
        <f>Input!$FI$17</f>
        <v>0</v>
      </c>
      <c r="M33" s="543">
        <f t="shared" si="6"/>
        <v>0</v>
      </c>
      <c r="O33" s="431"/>
      <c r="P33" s="432"/>
      <c r="Q33" s="342"/>
      <c r="R33" s="432"/>
      <c r="S33" s="554"/>
      <c r="U33" s="538" t="s">
        <v>1004</v>
      </c>
      <c r="V33" s="296"/>
      <c r="W33" s="296"/>
      <c r="X33" s="347">
        <f>(M19+M32)*-1</f>
        <v>0</v>
      </c>
      <c r="Y33" s="420"/>
    </row>
    <row r="34" spans="1:28" s="50" customFormat="1">
      <c r="A34" s="293"/>
      <c r="B34" s="51" t="s">
        <v>640</v>
      </c>
      <c r="C34" s="51"/>
      <c r="D34" s="355">
        <f>Input!$FJ$17</f>
        <v>0</v>
      </c>
      <c r="E34" s="355">
        <f>Input!$FK$17</f>
        <v>0</v>
      </c>
      <c r="F34" s="355">
        <f>Input!$FL$17</f>
        <v>0</v>
      </c>
      <c r="G34" s="355">
        <f>Input!$FM$17</f>
        <v>0</v>
      </c>
      <c r="H34" s="355">
        <f>Input!$FN$17</f>
        <v>0</v>
      </c>
      <c r="I34" s="355">
        <f>Input!$FO$17</f>
        <v>0</v>
      </c>
      <c r="J34" s="355">
        <f>Input!$FP$17</f>
        <v>0</v>
      </c>
      <c r="K34" s="355">
        <f>Input!$FQ$17</f>
        <v>0</v>
      </c>
      <c r="L34" s="355">
        <f>Input!$FR$17</f>
        <v>0</v>
      </c>
      <c r="M34" s="543">
        <f t="shared" si="6"/>
        <v>0</v>
      </c>
      <c r="O34" s="434" t="s">
        <v>1246</v>
      </c>
      <c r="P34" s="435"/>
      <c r="Q34" s="50" t="s">
        <v>218</v>
      </c>
      <c r="R34" s="433">
        <f>Input!$TJ$17</f>
        <v>-334203</v>
      </c>
      <c r="S34" s="555"/>
      <c r="U34" s="538" t="s">
        <v>1052</v>
      </c>
      <c r="V34" s="296"/>
      <c r="W34" s="296"/>
      <c r="X34" s="426">
        <f>(M24+M37)*-1</f>
        <v>0</v>
      </c>
      <c r="Y34" s="420"/>
    </row>
    <row r="35" spans="1:28" s="50" customFormat="1" ht="13.5" thickBot="1">
      <c r="A35" s="293"/>
      <c r="B35" s="51" t="s">
        <v>641</v>
      </c>
      <c r="C35" s="51"/>
      <c r="D35" s="355">
        <f>Input!$FS$17</f>
        <v>0</v>
      </c>
      <c r="E35" s="355">
        <f>Input!$FT$17</f>
        <v>0</v>
      </c>
      <c r="F35" s="355">
        <f>Input!$FU$17</f>
        <v>0</v>
      </c>
      <c r="G35" s="355">
        <f>Input!$FV$17</f>
        <v>0</v>
      </c>
      <c r="H35" s="355">
        <f>Input!$FW$17</f>
        <v>0</v>
      </c>
      <c r="I35" s="355">
        <f>Input!$FX$17</f>
        <v>0</v>
      </c>
      <c r="J35" s="355">
        <f>Input!$FY$17</f>
        <v>0</v>
      </c>
      <c r="K35" s="355">
        <f>Input!$FZ$17</f>
        <v>0</v>
      </c>
      <c r="L35" s="355">
        <f>Input!$GA$17</f>
        <v>0</v>
      </c>
      <c r="M35" s="543">
        <f t="shared" si="6"/>
        <v>0</v>
      </c>
      <c r="O35" s="436" t="s">
        <v>219</v>
      </c>
      <c r="P35" s="437"/>
      <c r="Q35" s="438">
        <f>Q30-Q32</f>
        <v>0</v>
      </c>
      <c r="R35" s="439">
        <f>R30-R34</f>
        <v>0</v>
      </c>
      <c r="S35" s="556"/>
      <c r="U35" s="621" t="s">
        <v>1053</v>
      </c>
      <c r="V35" s="221"/>
      <c r="W35" s="221"/>
      <c r="X35" s="627">
        <f>SUM(X33:X34)</f>
        <v>0</v>
      </c>
      <c r="Y35" s="626"/>
    </row>
    <row r="36" spans="1:28" s="50" customFormat="1" ht="13.5" thickTop="1">
      <c r="A36" s="293"/>
      <c r="B36" s="536" t="s">
        <v>648</v>
      </c>
      <c r="C36" s="179"/>
      <c r="D36" s="541">
        <f>Input!$GB$17</f>
        <v>0</v>
      </c>
      <c r="E36" s="541">
        <f>Input!$GC$17</f>
        <v>574247</v>
      </c>
      <c r="F36" s="541">
        <f>Input!$GD$17</f>
        <v>0</v>
      </c>
      <c r="G36" s="541">
        <f>Input!$GE$17</f>
        <v>0</v>
      </c>
      <c r="H36" s="541">
        <f>Input!$GF$17</f>
        <v>0</v>
      </c>
      <c r="I36" s="541">
        <f>Input!$GG$17</f>
        <v>0</v>
      </c>
      <c r="J36" s="541">
        <f>Input!$GH$17</f>
        <v>0</v>
      </c>
      <c r="K36" s="541">
        <f>Input!$GI$17</f>
        <v>0</v>
      </c>
      <c r="L36" s="541">
        <f>Input!$GJ$17</f>
        <v>0</v>
      </c>
      <c r="M36" s="542">
        <f t="shared" si="6"/>
        <v>574247</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Input!$GK$17</f>
        <v>0</v>
      </c>
      <c r="E37" s="355">
        <f>Input!$GL$17</f>
        <v>0</v>
      </c>
      <c r="F37" s="355">
        <f>Input!$GM$17</f>
        <v>0</v>
      </c>
      <c r="G37" s="355">
        <f>Input!$GN$17</f>
        <v>0</v>
      </c>
      <c r="H37" s="355">
        <f>Input!$GO$17</f>
        <v>0</v>
      </c>
      <c r="I37" s="355">
        <f>Input!$GP$17</f>
        <v>0</v>
      </c>
      <c r="J37" s="355">
        <f>Input!$GQ$17</f>
        <v>0</v>
      </c>
      <c r="K37" s="355">
        <f>Input!$GR$17</f>
        <v>0</v>
      </c>
      <c r="L37" s="355">
        <f>Input!$GS$17</f>
        <v>0</v>
      </c>
      <c r="M37" s="543">
        <f t="shared" si="6"/>
        <v>0</v>
      </c>
      <c r="O37" s="51"/>
      <c r="U37" s="538" t="s">
        <v>1054</v>
      </c>
      <c r="V37" s="296"/>
      <c r="W37" s="296"/>
      <c r="X37" s="426">
        <f>(M25+M38)*-1</f>
        <v>0</v>
      </c>
      <c r="Y37" s="626"/>
    </row>
    <row r="38" spans="1:28" s="50" customFormat="1">
      <c r="A38" s="293"/>
      <c r="B38" s="51" t="s">
        <v>644</v>
      </c>
      <c r="C38" s="180"/>
      <c r="D38" s="355">
        <f>Input!$GT$17</f>
        <v>0</v>
      </c>
      <c r="E38" s="355">
        <f>Input!$GU$17</f>
        <v>0</v>
      </c>
      <c r="F38" s="355">
        <f>Input!$GV$17</f>
        <v>0</v>
      </c>
      <c r="G38" s="355">
        <f>Input!$GW$17</f>
        <v>0</v>
      </c>
      <c r="H38" s="355">
        <f>Input!$GX$17</f>
        <v>0</v>
      </c>
      <c r="I38" s="355">
        <f>Input!$GY$17</f>
        <v>0</v>
      </c>
      <c r="J38" s="355">
        <f>Input!$GZ$17</f>
        <v>0</v>
      </c>
      <c r="K38" s="355">
        <f>Input!$HA$17</f>
        <v>0</v>
      </c>
      <c r="L38" s="355">
        <f>Input!$HB$17</f>
        <v>0</v>
      </c>
      <c r="M38" s="543">
        <f t="shared" si="6"/>
        <v>0</v>
      </c>
      <c r="O38" s="51"/>
      <c r="U38" s="621" t="s">
        <v>1055</v>
      </c>
      <c r="V38" s="221"/>
      <c r="W38" s="221"/>
      <c r="X38" s="627">
        <f>SUM(X36:X37)</f>
        <v>0</v>
      </c>
      <c r="Y38" s="420"/>
    </row>
    <row r="39" spans="1:28" s="50" customFormat="1">
      <c r="A39" s="293"/>
      <c r="B39" s="51" t="s">
        <v>645</v>
      </c>
      <c r="C39" s="180"/>
      <c r="D39" s="355">
        <f>Input!$HC$17</f>
        <v>0</v>
      </c>
      <c r="E39" s="355">
        <f>Input!$HD$17</f>
        <v>0</v>
      </c>
      <c r="F39" s="355">
        <f>Input!$HE$17</f>
        <v>0</v>
      </c>
      <c r="G39" s="355">
        <f>Input!$HF$17</f>
        <v>0</v>
      </c>
      <c r="H39" s="355">
        <f>Input!$HG$17</f>
        <v>0</v>
      </c>
      <c r="I39" s="355">
        <f>Input!$HH$17</f>
        <v>0</v>
      </c>
      <c r="J39" s="355">
        <f>Input!$HI$17</f>
        <v>0</v>
      </c>
      <c r="K39" s="355">
        <f>Input!$HJ$17</f>
        <v>0</v>
      </c>
      <c r="L39" s="355">
        <f>Input!$HK$17</f>
        <v>0</v>
      </c>
      <c r="M39" s="543">
        <f t="shared" si="6"/>
        <v>0</v>
      </c>
      <c r="O39" s="51"/>
      <c r="U39" s="538" t="s">
        <v>1007</v>
      </c>
      <c r="V39" s="296"/>
      <c r="W39" s="296"/>
      <c r="X39" s="347"/>
      <c r="Y39" s="420">
        <f>X38+X35</f>
        <v>0</v>
      </c>
    </row>
    <row r="40" spans="1:28" s="50" customFormat="1">
      <c r="A40" s="293"/>
      <c r="B40" s="51" t="s">
        <v>646</v>
      </c>
      <c r="C40" s="180"/>
      <c r="D40" s="355">
        <f>Input!$HL$17</f>
        <v>0</v>
      </c>
      <c r="E40" s="355">
        <f>Input!$HM$17</f>
        <v>0</v>
      </c>
      <c r="F40" s="355">
        <f>Input!$HN$17</f>
        <v>0</v>
      </c>
      <c r="G40" s="355">
        <f>Input!$HO$17</f>
        <v>0</v>
      </c>
      <c r="H40" s="355">
        <f>Input!$HP$17</f>
        <v>0</v>
      </c>
      <c r="I40" s="355">
        <f>Input!$HQ$17</f>
        <v>0</v>
      </c>
      <c r="J40" s="355">
        <f>Input!$HR$17</f>
        <v>0</v>
      </c>
      <c r="K40" s="355">
        <f>Input!$HS$17</f>
        <v>0</v>
      </c>
      <c r="L40" s="355">
        <f>Input!$HT$17</f>
        <v>0</v>
      </c>
      <c r="M40" s="543">
        <f t="shared" si="6"/>
        <v>0</v>
      </c>
      <c r="O40" s="51"/>
      <c r="U40" s="538"/>
      <c r="V40" s="51"/>
      <c r="W40" s="51"/>
      <c r="X40" s="51"/>
      <c r="Y40" s="626"/>
    </row>
    <row r="41" spans="1:28" s="50" customFormat="1">
      <c r="A41" s="293"/>
      <c r="B41" s="51" t="s">
        <v>1361</v>
      </c>
      <c r="C41" s="180"/>
      <c r="D41" s="355">
        <f>Input!$HU$17</f>
        <v>0</v>
      </c>
      <c r="E41" s="355">
        <f>Input!$HV$17</f>
        <v>-126472</v>
      </c>
      <c r="F41" s="355">
        <f>Input!$HW$17</f>
        <v>0</v>
      </c>
      <c r="G41" s="355">
        <f>Input!$HX$17</f>
        <v>0</v>
      </c>
      <c r="H41" s="355">
        <f>Input!$HY$17</f>
        <v>0</v>
      </c>
      <c r="I41" s="355">
        <f>Input!$HZ$17</f>
        <v>0</v>
      </c>
      <c r="J41" s="355">
        <f>Input!$IA$17</f>
        <v>0</v>
      </c>
      <c r="K41" s="355">
        <f>Input!$IB$17</f>
        <v>0</v>
      </c>
      <c r="L41" s="355">
        <f>Input!$IC$17</f>
        <v>0</v>
      </c>
      <c r="M41" s="543">
        <f t="shared" si="6"/>
        <v>-126472</v>
      </c>
      <c r="O41"/>
      <c r="P41"/>
      <c r="Q41"/>
      <c r="R41"/>
      <c r="S41"/>
      <c r="U41" s="538" t="s">
        <v>1046</v>
      </c>
      <c r="V41" s="296"/>
      <c r="W41" s="296"/>
      <c r="X41" s="326">
        <f>(M21+M34)*-1</f>
        <v>0</v>
      </c>
      <c r="Y41" s="420"/>
    </row>
    <row r="42" spans="1:28" s="50" customFormat="1">
      <c r="A42" s="293"/>
      <c r="B42" s="551" t="s">
        <v>38</v>
      </c>
      <c r="C42" s="179"/>
      <c r="D42" s="356">
        <f t="shared" ref="D42:L42" si="7">SUM(D36:D41)</f>
        <v>0</v>
      </c>
      <c r="E42" s="356">
        <f t="shared" si="7"/>
        <v>447775</v>
      </c>
      <c r="F42" s="356">
        <f t="shared" si="7"/>
        <v>0</v>
      </c>
      <c r="G42" s="356">
        <f t="shared" si="7"/>
        <v>0</v>
      </c>
      <c r="H42" s="356">
        <f t="shared" si="7"/>
        <v>0</v>
      </c>
      <c r="I42" s="356">
        <f t="shared" si="7"/>
        <v>0</v>
      </c>
      <c r="J42" s="356">
        <f t="shared" si="7"/>
        <v>0</v>
      </c>
      <c r="K42" s="356">
        <f t="shared" si="7"/>
        <v>0</v>
      </c>
      <c r="L42" s="356">
        <f t="shared" si="7"/>
        <v>0</v>
      </c>
      <c r="M42" s="356">
        <f t="shared" si="6"/>
        <v>447775</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727007</v>
      </c>
      <c r="E44" s="356">
        <f t="shared" si="8"/>
        <v>1810654</v>
      </c>
      <c r="F44" s="356">
        <f t="shared" si="8"/>
        <v>0</v>
      </c>
      <c r="G44" s="356">
        <f t="shared" si="8"/>
        <v>0</v>
      </c>
      <c r="H44" s="356">
        <f t="shared" si="8"/>
        <v>0</v>
      </c>
      <c r="I44" s="356">
        <f t="shared" si="8"/>
        <v>0</v>
      </c>
      <c r="J44" s="356">
        <f t="shared" si="8"/>
        <v>0</v>
      </c>
      <c r="K44" s="356">
        <f t="shared" si="8"/>
        <v>0</v>
      </c>
      <c r="L44" s="356">
        <f t="shared" si="8"/>
        <v>0</v>
      </c>
      <c r="M44" s="356">
        <f>D44+E44+F44+G44+H44+I44+J44+K44+L44</f>
        <v>2537661</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Input!$ID$17</f>
        <v>0</v>
      </c>
      <c r="E47" s="358">
        <f>Input!$IE$17</f>
        <v>0</v>
      </c>
      <c r="F47" s="358">
        <f>Input!$IF$17</f>
        <v>0</v>
      </c>
      <c r="G47" s="358">
        <f>Input!$IG$17</f>
        <v>9489928</v>
      </c>
      <c r="H47" s="358">
        <f>Input!$IH$17</f>
        <v>0</v>
      </c>
      <c r="I47" s="358">
        <f>Input!$II$17</f>
        <v>0</v>
      </c>
      <c r="J47" s="358">
        <f>Input!$IJ$17</f>
        <v>0</v>
      </c>
      <c r="K47" s="358">
        <f>Input!$IK$17</f>
        <v>0</v>
      </c>
      <c r="L47" s="358">
        <f>Input!$IL$17</f>
        <v>0</v>
      </c>
      <c r="M47" s="356">
        <f>D47+E47+F47+G47+H47+I47+J47+K47+L47</f>
        <v>9489928</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2871864</v>
      </c>
      <c r="Z49" s="50"/>
      <c r="AA49" s="50"/>
      <c r="AB49" s="50"/>
    </row>
    <row r="50" spans="1:28" s="149" customFormat="1">
      <c r="A50" s="147">
        <v>33</v>
      </c>
      <c r="B50" s="158" t="s">
        <v>56</v>
      </c>
      <c r="C50" s="158"/>
      <c r="D50" s="358">
        <f>Input!$IM$17</f>
        <v>0</v>
      </c>
      <c r="E50" s="358">
        <f>Input!$IN$17</f>
        <v>2343886</v>
      </c>
      <c r="F50" s="358">
        <f>Input!$IO$17</f>
        <v>0</v>
      </c>
      <c r="G50" s="358">
        <f>Input!$IP$17</f>
        <v>0</v>
      </c>
      <c r="H50" s="358">
        <f>Input!$IQ$17</f>
        <v>0</v>
      </c>
      <c r="I50" s="358">
        <f>Input!$IR$17</f>
        <v>0</v>
      </c>
      <c r="J50" s="358">
        <f>Input!$IS$17</f>
        <v>0</v>
      </c>
      <c r="K50" s="358">
        <f>Input!$IT$17</f>
        <v>0</v>
      </c>
      <c r="L50" s="358">
        <f>Input!$IU$17</f>
        <v>0</v>
      </c>
      <c r="M50" s="356">
        <f>D50+E50+F50+G50+H50+I50+J50+K50+L50</f>
        <v>2343886</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Input!$IV$17</f>
        <v>0</v>
      </c>
      <c r="E53" s="358">
        <f>Input!$IW$17</f>
        <v>0</v>
      </c>
      <c r="F53" s="358">
        <f>Input!$IX$17</f>
        <v>0</v>
      </c>
      <c r="G53" s="358">
        <f>Input!$IY$17</f>
        <v>0</v>
      </c>
      <c r="H53" s="358">
        <f>Input!$IZ$17</f>
        <v>0</v>
      </c>
      <c r="I53" s="358">
        <f>Input!$JA$17</f>
        <v>0</v>
      </c>
      <c r="J53" s="358">
        <f>Input!$JB$17</f>
        <v>0</v>
      </c>
      <c r="K53" s="358">
        <f>Input!$JC$17</f>
        <v>0</v>
      </c>
      <c r="L53" s="358">
        <f>Input!$JD$17</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Input!$JE$17</f>
        <v>0</v>
      </c>
      <c r="E56" s="355">
        <f>Input!$JF$17</f>
        <v>810037</v>
      </c>
      <c r="F56" s="355">
        <f>Input!$JG$17</f>
        <v>0</v>
      </c>
      <c r="G56" s="355">
        <f>Input!$JH$17</f>
        <v>1112986</v>
      </c>
      <c r="H56" s="355">
        <f>Input!$JI$17</f>
        <v>0</v>
      </c>
      <c r="I56" s="355">
        <f>Input!$JJ$17</f>
        <v>-109</v>
      </c>
      <c r="J56" s="355">
        <f>Input!$JK$17</f>
        <v>0</v>
      </c>
      <c r="K56" s="355">
        <f>Input!$JL$17</f>
        <v>0</v>
      </c>
      <c r="L56" s="355">
        <f>Input!$JM$17</f>
        <v>0</v>
      </c>
      <c r="M56" s="357">
        <f t="shared" ref="M56:M62" si="9">D56+E56+F56+G56+H56+I56+J56+K56+L56</f>
        <v>1922914</v>
      </c>
      <c r="O56" s="51"/>
      <c r="P56" s="50"/>
      <c r="Q56" s="50"/>
      <c r="R56" s="50"/>
      <c r="S56" s="50"/>
      <c r="T56" s="50"/>
      <c r="U56" s="50"/>
      <c r="V56" s="50"/>
      <c r="W56" s="50"/>
      <c r="X56" s="306"/>
      <c r="Y56" s="50"/>
      <c r="Z56" s="50"/>
      <c r="AA56" s="50"/>
      <c r="AB56" s="50"/>
    </row>
    <row r="57" spans="1:28" s="149" customFormat="1">
      <c r="A57" s="147">
        <v>40</v>
      </c>
      <c r="B57" s="149" t="s">
        <v>9</v>
      </c>
      <c r="D57" s="355">
        <f>Input!$JN$17</f>
        <v>0</v>
      </c>
      <c r="E57" s="355">
        <f>Input!$JO$17</f>
        <v>35838040</v>
      </c>
      <c r="F57" s="355">
        <f>Input!$JP$17</f>
        <v>0</v>
      </c>
      <c r="G57" s="355">
        <f>Input!$JQ$17</f>
        <v>43830</v>
      </c>
      <c r="H57" s="355">
        <f>Input!$JR$17</f>
        <v>0</v>
      </c>
      <c r="I57" s="355">
        <f>Input!$JS$17</f>
        <v>0</v>
      </c>
      <c r="J57" s="355">
        <f>Input!$JT$17</f>
        <v>0</v>
      </c>
      <c r="K57" s="355">
        <f>Input!$JU$17</f>
        <v>0</v>
      </c>
      <c r="L57" s="355">
        <f>Input!$JV$17</f>
        <v>0</v>
      </c>
      <c r="M57" s="357">
        <f t="shared" si="9"/>
        <v>35881870</v>
      </c>
      <c r="O57" s="50"/>
      <c r="P57" s="307"/>
      <c r="Q57" s="50"/>
      <c r="R57" s="50"/>
      <c r="S57" s="50"/>
      <c r="T57" s="50"/>
      <c r="U57" s="50"/>
      <c r="V57" s="50"/>
      <c r="W57" s="50"/>
      <c r="X57" s="50"/>
      <c r="Y57" s="50"/>
      <c r="Z57" s="50"/>
      <c r="AA57" s="50"/>
      <c r="AB57" s="50"/>
    </row>
    <row r="58" spans="1:28" s="149" customFormat="1">
      <c r="A58" s="147">
        <v>41</v>
      </c>
      <c r="B58" s="149" t="s">
        <v>10</v>
      </c>
      <c r="D58" s="355">
        <f>Input!$JW$17</f>
        <v>0</v>
      </c>
      <c r="E58" s="355">
        <f>Input!$JX$17</f>
        <v>9805796</v>
      </c>
      <c r="F58" s="355">
        <f>Input!$JY$17</f>
        <v>0</v>
      </c>
      <c r="G58" s="355">
        <f>Input!$JZ$17</f>
        <v>18373790</v>
      </c>
      <c r="H58" s="355">
        <f>Input!$KA$17</f>
        <v>0</v>
      </c>
      <c r="I58" s="355">
        <f>Input!$KB$17</f>
        <v>0</v>
      </c>
      <c r="J58" s="355">
        <f>Input!$KC$17</f>
        <v>0</v>
      </c>
      <c r="K58" s="355">
        <f>Input!$KD$17</f>
        <v>0</v>
      </c>
      <c r="L58" s="355">
        <f>Input!$KE$17</f>
        <v>0</v>
      </c>
      <c r="M58" s="357">
        <f t="shared" si="9"/>
        <v>28179586</v>
      </c>
      <c r="O58" s="302"/>
      <c r="P58" s="50"/>
      <c r="Q58" s="50"/>
      <c r="R58" s="50"/>
      <c r="S58" s="50"/>
      <c r="T58" s="50"/>
      <c r="U58" s="50"/>
      <c r="V58" s="50"/>
      <c r="W58" s="50"/>
      <c r="X58" s="50"/>
      <c r="Y58" s="50"/>
      <c r="Z58" s="50"/>
      <c r="AA58" s="50"/>
      <c r="AB58" s="50"/>
    </row>
    <row r="59" spans="1:28" s="149" customFormat="1" ht="13.5" thickBot="1">
      <c r="A59" s="147">
        <v>42</v>
      </c>
      <c r="B59" s="149" t="s">
        <v>54</v>
      </c>
      <c r="D59" s="355">
        <f>Input!$KF$17</f>
        <v>0</v>
      </c>
      <c r="E59" s="355">
        <f>Input!$KG$17</f>
        <v>84761</v>
      </c>
      <c r="F59" s="355">
        <f>Input!$KH$17</f>
        <v>0</v>
      </c>
      <c r="G59" s="355">
        <f>Input!$KI$17</f>
        <v>0</v>
      </c>
      <c r="H59" s="355">
        <f>Input!$KJ$17</f>
        <v>0</v>
      </c>
      <c r="I59" s="355">
        <f>Input!$KK$17</f>
        <v>0</v>
      </c>
      <c r="J59" s="355">
        <f>Input!$KL$17</f>
        <v>0</v>
      </c>
      <c r="K59" s="355">
        <f>Input!$KM$17</f>
        <v>0</v>
      </c>
      <c r="L59" s="355">
        <f>Input!$KN$17</f>
        <v>0</v>
      </c>
      <c r="M59" s="357">
        <f t="shared" si="9"/>
        <v>84761</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Input!$KO$17</f>
        <v>0</v>
      </c>
      <c r="E60" s="355">
        <f>Input!$KP$17</f>
        <v>0</v>
      </c>
      <c r="F60" s="355">
        <f>Input!$KQ$17</f>
        <v>3152078</v>
      </c>
      <c r="G60" s="355">
        <f>Input!$KR$17</f>
        <v>0</v>
      </c>
      <c r="H60" s="355">
        <f>Input!$KS$17</f>
        <v>0</v>
      </c>
      <c r="I60" s="355">
        <f>Input!$KT$17</f>
        <v>0</v>
      </c>
      <c r="J60" s="355">
        <f>Input!$KU$17</f>
        <v>0</v>
      </c>
      <c r="K60" s="355">
        <f>Input!$KV$17</f>
        <v>0</v>
      </c>
      <c r="L60" s="355">
        <f>Input!$KW$17</f>
        <v>0</v>
      </c>
      <c r="M60" s="357">
        <f t="shared" si="9"/>
        <v>3152078</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Input!$KX$17</f>
        <v>0</v>
      </c>
      <c r="E61" s="355">
        <f>Input!$KY$17</f>
        <v>3149604</v>
      </c>
      <c r="F61" s="355">
        <f>Input!$KZ$17</f>
        <v>0</v>
      </c>
      <c r="G61" s="355">
        <f>Input!$LA$17</f>
        <v>0</v>
      </c>
      <c r="H61" s="355">
        <f>Input!$LB$17</f>
        <v>0</v>
      </c>
      <c r="I61" s="355">
        <f>Input!$LC$17</f>
        <v>0</v>
      </c>
      <c r="J61" s="355">
        <f>Input!$LD$17</f>
        <v>0</v>
      </c>
      <c r="K61" s="355">
        <f>Input!$LE$17</f>
        <v>0</v>
      </c>
      <c r="L61" s="355">
        <f>Input!$LF$17</f>
        <v>122060</v>
      </c>
      <c r="M61" s="357">
        <f t="shared" si="9"/>
        <v>3271664</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0</v>
      </c>
      <c r="E62" s="356">
        <f t="shared" si="10"/>
        <v>49688238</v>
      </c>
      <c r="F62" s="356">
        <f t="shared" si="10"/>
        <v>3152078</v>
      </c>
      <c r="G62" s="356">
        <f t="shared" si="10"/>
        <v>19530606</v>
      </c>
      <c r="H62" s="356">
        <f t="shared" si="10"/>
        <v>0</v>
      </c>
      <c r="I62" s="356">
        <f t="shared" si="10"/>
        <v>-109</v>
      </c>
      <c r="J62" s="356">
        <f t="shared" si="10"/>
        <v>0</v>
      </c>
      <c r="K62" s="356">
        <f t="shared" si="10"/>
        <v>0</v>
      </c>
      <c r="L62" s="356">
        <f t="shared" si="10"/>
        <v>122060</v>
      </c>
      <c r="M62" s="356">
        <f t="shared" si="9"/>
        <v>72492873</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31775615</v>
      </c>
      <c r="E63" s="356">
        <f t="shared" ref="E63:M63" si="11">E15+E44+E47+E50+E53+E62</f>
        <v>55273384</v>
      </c>
      <c r="F63" s="356">
        <f t="shared" si="11"/>
        <v>3152078</v>
      </c>
      <c r="G63" s="356">
        <f t="shared" si="11"/>
        <v>30277191</v>
      </c>
      <c r="H63" s="356">
        <f t="shared" si="11"/>
        <v>0</v>
      </c>
      <c r="I63" s="356">
        <f t="shared" si="11"/>
        <v>-109</v>
      </c>
      <c r="J63" s="356">
        <f t="shared" si="11"/>
        <v>0</v>
      </c>
      <c r="K63" s="356">
        <f t="shared" si="11"/>
        <v>0</v>
      </c>
      <c r="L63" s="356">
        <f t="shared" si="11"/>
        <v>122060</v>
      </c>
      <c r="M63" s="356">
        <f t="shared" si="11"/>
        <v>120600219</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Input!$LG$17</f>
        <v>3542801</v>
      </c>
      <c r="E65" s="355">
        <f>Input!$LH$17</f>
        <v>93495</v>
      </c>
      <c r="F65" s="355">
        <f>Input!$LI$17</f>
        <v>0</v>
      </c>
      <c r="G65" s="355">
        <f>Input!$LJ$17</f>
        <v>463167</v>
      </c>
      <c r="H65" s="355">
        <f>Input!$LK$17</f>
        <v>0</v>
      </c>
      <c r="I65" s="355">
        <f>Input!$LL$17</f>
        <v>0</v>
      </c>
      <c r="J65" s="355">
        <f>Input!$LM$17</f>
        <v>0</v>
      </c>
      <c r="K65" s="355">
        <f>Input!$LN$17</f>
        <v>0</v>
      </c>
      <c r="L65" s="355">
        <f>Input!$LO$17</f>
        <v>0</v>
      </c>
      <c r="M65" s="357">
        <f t="shared" ref="M65:M77" si="12">D65+E65+F65+G65+H65+I65+J65+K65+L65</f>
        <v>4099463</v>
      </c>
      <c r="O65" s="310">
        <f>D65+E65+G65</f>
        <v>4099463</v>
      </c>
      <c r="P65" s="311">
        <f>Input!$TK$17</f>
        <v>0</v>
      </c>
      <c r="Q65" s="311">
        <f>Input!$TU$17</f>
        <v>422954</v>
      </c>
      <c r="R65" s="311">
        <f>Input!$UD$17</f>
        <v>0</v>
      </c>
      <c r="S65" s="312">
        <f>O65+P65-Q65-R65</f>
        <v>3676509</v>
      </c>
      <c r="T65" s="313"/>
      <c r="U65" s="494">
        <f>D65+E65+F65+G65+J65</f>
        <v>4099463</v>
      </c>
      <c r="V65" s="313"/>
      <c r="W65" s="314" t="s">
        <v>14</v>
      </c>
      <c r="X65" s="487">
        <f>Input!$UO$17</f>
        <v>4099463</v>
      </c>
      <c r="Y65" s="315">
        <f t="shared" ref="Y65:Y74" si="13">X65-M65</f>
        <v>0</v>
      </c>
      <c r="Z65" s="313"/>
      <c r="AA65" s="313"/>
      <c r="AB65" s="313"/>
    </row>
    <row r="66" spans="1:28" s="149" customFormat="1" ht="14.25" thickTop="1" thickBot="1">
      <c r="A66" s="147">
        <v>49</v>
      </c>
      <c r="B66" s="161" t="s">
        <v>15</v>
      </c>
      <c r="C66" s="161"/>
      <c r="D66" s="355">
        <f>Input!$LP$17</f>
        <v>8186067</v>
      </c>
      <c r="E66" s="355">
        <f>Input!$LQ$17</f>
        <v>4010262</v>
      </c>
      <c r="F66" s="355">
        <f>Input!$LR$17</f>
        <v>0</v>
      </c>
      <c r="G66" s="355">
        <f>Input!$LS$17</f>
        <v>12578324</v>
      </c>
      <c r="H66" s="355">
        <f>Input!$LT$17</f>
        <v>0</v>
      </c>
      <c r="I66" s="355">
        <f>Input!$LU$17</f>
        <v>0</v>
      </c>
      <c r="J66" s="355">
        <f>Input!$LV$17</f>
        <v>0</v>
      </c>
      <c r="K66" s="355">
        <f>Input!$LW$17</f>
        <v>0</v>
      </c>
      <c r="L66" s="355">
        <f>Input!$LX$17</f>
        <v>0</v>
      </c>
      <c r="M66" s="357">
        <f t="shared" si="12"/>
        <v>24774653</v>
      </c>
      <c r="O66" s="316">
        <f t="shared" ref="O66:O72" si="14">D66+E66+G66</f>
        <v>24774653</v>
      </c>
      <c r="P66" s="317">
        <f>Input!$TL$17</f>
        <v>676809</v>
      </c>
      <c r="Q66" s="317">
        <f>Input!$TV$17</f>
        <v>7918579</v>
      </c>
      <c r="R66" s="317">
        <f>Input!$UE$17</f>
        <v>0</v>
      </c>
      <c r="S66" s="318">
        <f>O66+P66-Q66-R66</f>
        <v>17532883</v>
      </c>
      <c r="T66" s="313"/>
      <c r="U66" s="495">
        <f t="shared" ref="U66:U76" si="15">D66+E66+F66+G66+J66</f>
        <v>24774653</v>
      </c>
      <c r="V66" s="313"/>
      <c r="W66" s="314" t="s">
        <v>15</v>
      </c>
      <c r="X66" s="363">
        <f>Input!$UP$17</f>
        <v>24774653</v>
      </c>
      <c r="Y66" s="319">
        <f t="shared" si="13"/>
        <v>0</v>
      </c>
      <c r="Z66" s="320"/>
      <c r="AA66" s="320"/>
      <c r="AB66" s="320"/>
    </row>
    <row r="67" spans="1:28" s="149" customFormat="1" ht="13.5" thickTop="1">
      <c r="A67" s="147">
        <v>50</v>
      </c>
      <c r="B67" s="161" t="s">
        <v>16</v>
      </c>
      <c r="C67" s="161"/>
      <c r="D67" s="355">
        <f>Input!$LY$17</f>
        <v>343139</v>
      </c>
      <c r="E67" s="355">
        <f>Input!$LZ$17</f>
        <v>2535365</v>
      </c>
      <c r="F67" s="355">
        <f>Input!$MA$17</f>
        <v>0</v>
      </c>
      <c r="G67" s="355">
        <f>Input!$MB$17</f>
        <v>436689</v>
      </c>
      <c r="H67" s="355">
        <f>Input!$MC$17</f>
        <v>0</v>
      </c>
      <c r="I67" s="355">
        <f>Input!$MD$17</f>
        <v>0</v>
      </c>
      <c r="J67" s="355">
        <f>Input!$ME$17</f>
        <v>0</v>
      </c>
      <c r="K67" s="355">
        <f>Input!$MF$17</f>
        <v>0</v>
      </c>
      <c r="L67" s="355">
        <f>Input!$MG$17</f>
        <v>0</v>
      </c>
      <c r="M67" s="357">
        <f t="shared" si="12"/>
        <v>3315193</v>
      </c>
      <c r="O67" s="316">
        <f t="shared" si="14"/>
        <v>3315193</v>
      </c>
      <c r="P67" s="317">
        <f>Input!$TM$17</f>
        <v>0</v>
      </c>
      <c r="Q67" s="317">
        <f>Input!$TW$17</f>
        <v>150000</v>
      </c>
      <c r="R67" s="317">
        <f>Input!$UF$17</f>
        <v>0</v>
      </c>
      <c r="S67" s="321">
        <f t="shared" ref="S67:S72" si="16">O67+P67-Q67-R67</f>
        <v>3165193</v>
      </c>
      <c r="T67" s="320"/>
      <c r="U67" s="495">
        <f t="shared" si="15"/>
        <v>3315193</v>
      </c>
      <c r="V67" s="320"/>
      <c r="W67" s="314" t="s">
        <v>16</v>
      </c>
      <c r="X67" s="363">
        <f>Input!$UQ$17</f>
        <v>3315193</v>
      </c>
      <c r="Y67" s="319">
        <f t="shared" si="13"/>
        <v>0</v>
      </c>
      <c r="Z67" s="320"/>
      <c r="AA67" s="320"/>
      <c r="AB67" s="320"/>
    </row>
    <row r="68" spans="1:28" s="149" customFormat="1">
      <c r="A68" s="147">
        <v>51</v>
      </c>
      <c r="B68" s="161" t="s">
        <v>55</v>
      </c>
      <c r="C68" s="161"/>
      <c r="D68" s="355">
        <f>Input!$MH$17</f>
        <v>3093544</v>
      </c>
      <c r="E68" s="355">
        <f>Input!$MI$17</f>
        <v>13801682</v>
      </c>
      <c r="F68" s="355">
        <f>Input!$MJ$17</f>
        <v>0</v>
      </c>
      <c r="G68" s="355">
        <f>Input!$MK$17</f>
        <v>1844817</v>
      </c>
      <c r="H68" s="355">
        <f>Input!$ML$17</f>
        <v>0</v>
      </c>
      <c r="I68" s="355">
        <f>Input!$MM$17</f>
        <v>0</v>
      </c>
      <c r="J68" s="355">
        <f>Input!$MN$17</f>
        <v>0</v>
      </c>
      <c r="K68" s="355">
        <f>Input!$MO$17</f>
        <v>0</v>
      </c>
      <c r="L68" s="355">
        <f>Input!$MP$17</f>
        <v>0</v>
      </c>
      <c r="M68" s="357">
        <f t="shared" si="12"/>
        <v>18740043</v>
      </c>
      <c r="O68" s="316">
        <f t="shared" si="14"/>
        <v>18740043</v>
      </c>
      <c r="P68" s="317">
        <f>Input!$TN$17</f>
        <v>42032</v>
      </c>
      <c r="Q68" s="317">
        <f>Input!$TX$17</f>
        <v>0</v>
      </c>
      <c r="R68" s="317">
        <f>Input!$UG$17</f>
        <v>0</v>
      </c>
      <c r="S68" s="321">
        <f t="shared" si="16"/>
        <v>18782075</v>
      </c>
      <c r="T68" s="320"/>
      <c r="U68" s="495">
        <f t="shared" si="15"/>
        <v>18740043</v>
      </c>
      <c r="V68" s="320"/>
      <c r="W68" s="314" t="s">
        <v>55</v>
      </c>
      <c r="X68" s="363">
        <f>Input!$UR$17</f>
        <v>18740043</v>
      </c>
      <c r="Y68" s="319">
        <f t="shared" si="13"/>
        <v>0</v>
      </c>
      <c r="Z68" s="320"/>
      <c r="AA68" s="320"/>
      <c r="AB68" s="320"/>
    </row>
    <row r="69" spans="1:28" s="149" customFormat="1">
      <c r="A69" s="147">
        <v>52</v>
      </c>
      <c r="B69" s="161" t="s">
        <v>17</v>
      </c>
      <c r="C69" s="161"/>
      <c r="D69" s="355">
        <f>Input!$MQ$17</f>
        <v>6413956</v>
      </c>
      <c r="E69" s="355">
        <f>Input!$MR$17</f>
        <v>27252922</v>
      </c>
      <c r="F69" s="355">
        <f>Input!$MS$17</f>
        <v>0</v>
      </c>
      <c r="G69" s="355">
        <f>Input!$MT$17</f>
        <v>2909984</v>
      </c>
      <c r="H69" s="355">
        <f>Input!$MU$17</f>
        <v>0</v>
      </c>
      <c r="I69" s="355">
        <f>Input!$MV$17</f>
        <v>0</v>
      </c>
      <c r="J69" s="355">
        <f>Input!$MW$17</f>
        <v>0</v>
      </c>
      <c r="K69" s="355">
        <f>Input!$MX$17</f>
        <v>0</v>
      </c>
      <c r="L69" s="355">
        <f>Input!$MY$17</f>
        <v>0</v>
      </c>
      <c r="M69" s="357">
        <f t="shared" si="12"/>
        <v>36576862</v>
      </c>
      <c r="O69" s="316">
        <f t="shared" si="14"/>
        <v>36576862</v>
      </c>
      <c r="P69" s="317">
        <f>Input!$TO$17</f>
        <v>471988</v>
      </c>
      <c r="Q69" s="317">
        <f>Input!$TY$17</f>
        <v>0</v>
      </c>
      <c r="R69" s="317">
        <f>Input!$UH$17</f>
        <v>0</v>
      </c>
      <c r="S69" s="321">
        <f t="shared" si="16"/>
        <v>37048850</v>
      </c>
      <c r="T69" s="320"/>
      <c r="U69" s="495">
        <f t="shared" si="15"/>
        <v>36576862</v>
      </c>
      <c r="V69" s="320"/>
      <c r="W69" s="314" t="s">
        <v>17</v>
      </c>
      <c r="X69" s="363">
        <f>Input!$US$17</f>
        <v>36576862</v>
      </c>
      <c r="Y69" s="319">
        <f t="shared" si="13"/>
        <v>0</v>
      </c>
      <c r="Z69" s="320"/>
      <c r="AA69" s="320"/>
      <c r="AB69" s="320"/>
    </row>
    <row r="70" spans="1:28" s="149" customFormat="1">
      <c r="A70" s="147">
        <v>53</v>
      </c>
      <c r="B70" s="161" t="s">
        <v>18</v>
      </c>
      <c r="C70" s="161"/>
      <c r="D70" s="355">
        <f>Input!$MZ$17</f>
        <v>0</v>
      </c>
      <c r="E70" s="355">
        <f>Input!$NA$17</f>
        <v>0</v>
      </c>
      <c r="F70" s="355">
        <f>Input!$NB$17</f>
        <v>0</v>
      </c>
      <c r="G70" s="355">
        <f>Input!$NC$17</f>
        <v>0</v>
      </c>
      <c r="H70" s="355">
        <f>Input!$ND$17</f>
        <v>0</v>
      </c>
      <c r="I70" s="355">
        <f>Input!$NE$17</f>
        <v>0</v>
      </c>
      <c r="J70" s="355">
        <f>Input!$NF$17</f>
        <v>0</v>
      </c>
      <c r="K70" s="355">
        <f>Input!$NG$17</f>
        <v>0</v>
      </c>
      <c r="L70" s="355">
        <f>Input!$NH$17</f>
        <v>0</v>
      </c>
      <c r="M70" s="357">
        <f t="shared" si="12"/>
        <v>0</v>
      </c>
      <c r="O70" s="316">
        <f t="shared" si="14"/>
        <v>0</v>
      </c>
      <c r="P70" s="317">
        <f>Input!$TP$17</f>
        <v>0</v>
      </c>
      <c r="Q70" s="317">
        <f>Input!$TZ$17</f>
        <v>0</v>
      </c>
      <c r="R70" s="317">
        <f>Input!$UI$17</f>
        <v>0</v>
      </c>
      <c r="S70" s="321">
        <f t="shared" si="16"/>
        <v>0</v>
      </c>
      <c r="T70" s="320"/>
      <c r="U70" s="495">
        <f t="shared" si="15"/>
        <v>0</v>
      </c>
      <c r="V70" s="320"/>
      <c r="W70" s="314" t="s">
        <v>18</v>
      </c>
      <c r="X70" s="363">
        <f>Input!$UT$17</f>
        <v>0</v>
      </c>
      <c r="Y70" s="319">
        <f t="shared" si="13"/>
        <v>0</v>
      </c>
      <c r="Z70" s="320"/>
      <c r="AA70" s="320"/>
      <c r="AB70" s="320"/>
    </row>
    <row r="71" spans="1:28" s="149" customFormat="1">
      <c r="A71" s="147">
        <v>54</v>
      </c>
      <c r="B71" s="161" t="s">
        <v>19</v>
      </c>
      <c r="C71" s="161"/>
      <c r="D71" s="355">
        <f>Input!$NI$17</f>
        <v>3274174</v>
      </c>
      <c r="E71" s="355">
        <f>Input!$NJ$17</f>
        <v>14678601</v>
      </c>
      <c r="F71" s="355">
        <f>Input!$NK$17</f>
        <v>0</v>
      </c>
      <c r="G71" s="355">
        <f>Input!$NL$17</f>
        <v>916917</v>
      </c>
      <c r="H71" s="355">
        <f>Input!$NM$17</f>
        <v>0</v>
      </c>
      <c r="I71" s="355">
        <f>Input!$NN$17</f>
        <v>0</v>
      </c>
      <c r="J71" s="355">
        <f>Input!$NO$17</f>
        <v>0</v>
      </c>
      <c r="K71" s="355">
        <f>Input!$NP$17</f>
        <v>0</v>
      </c>
      <c r="L71" s="355">
        <f>Input!$NQ$17</f>
        <v>0</v>
      </c>
      <c r="M71" s="357">
        <f t="shared" si="12"/>
        <v>18869692</v>
      </c>
      <c r="O71" s="316">
        <f t="shared" si="14"/>
        <v>18869692</v>
      </c>
      <c r="P71" s="317">
        <f>Input!$TQ$17</f>
        <v>19277</v>
      </c>
      <c r="Q71" s="317">
        <f>Input!$UA$17</f>
        <v>0</v>
      </c>
      <c r="R71" s="317">
        <f>Input!$UJ$17</f>
        <v>0</v>
      </c>
      <c r="S71" s="321">
        <f t="shared" si="16"/>
        <v>18888969</v>
      </c>
      <c r="T71" s="320"/>
      <c r="U71" s="495">
        <f t="shared" si="15"/>
        <v>18869692</v>
      </c>
      <c r="V71" s="320"/>
      <c r="W71" s="314" t="s">
        <v>19</v>
      </c>
      <c r="X71" s="363">
        <f>Input!$UU$17</f>
        <v>18869692</v>
      </c>
      <c r="Y71" s="319">
        <f t="shared" si="13"/>
        <v>0</v>
      </c>
      <c r="Z71" s="320"/>
      <c r="AA71" s="320"/>
      <c r="AB71" s="320"/>
    </row>
    <row r="72" spans="1:28" s="149" customFormat="1">
      <c r="A72" s="147">
        <v>55</v>
      </c>
      <c r="B72" s="161" t="s">
        <v>20</v>
      </c>
      <c r="C72" s="161"/>
      <c r="D72" s="355">
        <f>Input!$NR$17</f>
        <v>3517700</v>
      </c>
      <c r="E72" s="355">
        <f>Input!$NS$17</f>
        <v>7422845</v>
      </c>
      <c r="F72" s="355">
        <f>Input!$NT$17</f>
        <v>0</v>
      </c>
      <c r="G72" s="355">
        <f>Input!$NU$17</f>
        <v>0</v>
      </c>
      <c r="H72" s="355">
        <f>Input!$NV$17</f>
        <v>0</v>
      </c>
      <c r="I72" s="355">
        <f>Input!$NW$17</f>
        <v>0</v>
      </c>
      <c r="J72" s="355">
        <f>Input!$NX$17</f>
        <v>1592833</v>
      </c>
      <c r="K72" s="355">
        <f>Input!$NY$17</f>
        <v>0</v>
      </c>
      <c r="L72" s="355">
        <f>Input!$NZ$17</f>
        <v>0</v>
      </c>
      <c r="M72" s="357">
        <f t="shared" si="12"/>
        <v>12533378</v>
      </c>
      <c r="O72" s="316">
        <f t="shared" si="14"/>
        <v>10940545</v>
      </c>
      <c r="P72" s="317">
        <f>Input!$TR$17</f>
        <v>180110</v>
      </c>
      <c r="Q72" s="317">
        <f>Input!$UB$17</f>
        <v>0</v>
      </c>
      <c r="R72" s="317">
        <f>Input!$UK$17</f>
        <v>0</v>
      </c>
      <c r="S72" s="321">
        <f t="shared" si="16"/>
        <v>11120655</v>
      </c>
      <c r="T72" s="320"/>
      <c r="U72" s="495">
        <f t="shared" si="15"/>
        <v>12533378</v>
      </c>
      <c r="V72" s="320"/>
      <c r="W72" s="314" t="s">
        <v>184</v>
      </c>
      <c r="X72" s="363">
        <f>Input!$UV$17</f>
        <v>12533378</v>
      </c>
      <c r="Y72" s="319">
        <f t="shared" si="13"/>
        <v>0</v>
      </c>
      <c r="Z72" s="320"/>
      <c r="AA72" s="320"/>
      <c r="AB72" s="320"/>
    </row>
    <row r="73" spans="1:28" s="149" customFormat="1" ht="13.5" thickBot="1">
      <c r="A73" s="147">
        <v>56</v>
      </c>
      <c r="B73" s="161" t="s">
        <v>21</v>
      </c>
      <c r="C73" s="161"/>
      <c r="D73" s="355">
        <f>Input!$OA$17</f>
        <v>18247</v>
      </c>
      <c r="E73" s="355">
        <f>Input!$OB$17</f>
        <v>290565</v>
      </c>
      <c r="F73" s="355">
        <f>Input!$OC$17</f>
        <v>0</v>
      </c>
      <c r="G73" s="355">
        <f>Input!$OD$17</f>
        <v>900823</v>
      </c>
      <c r="H73" s="355">
        <f>Input!$OE$17</f>
        <v>0</v>
      </c>
      <c r="I73" s="355">
        <f>Input!$OF$17</f>
        <v>0</v>
      </c>
      <c r="J73" s="355">
        <f>Input!$OG$17</f>
        <v>0</v>
      </c>
      <c r="K73" s="355">
        <f>Input!$OH$17</f>
        <v>0</v>
      </c>
      <c r="L73" s="355">
        <f>Input!$OI$17</f>
        <v>0</v>
      </c>
      <c r="M73" s="357">
        <f t="shared" si="12"/>
        <v>1209635</v>
      </c>
      <c r="O73" s="322">
        <f>D73+E73+G73</f>
        <v>1209635</v>
      </c>
      <c r="P73" s="317">
        <f>Input!$TS$17</f>
        <v>0</v>
      </c>
      <c r="Q73" s="323">
        <f>Input!$UC$17</f>
        <v>0</v>
      </c>
      <c r="R73" s="323">
        <f>Input!$UL$17</f>
        <v>0</v>
      </c>
      <c r="S73" s="324">
        <f>O73+P73-Q73-R73</f>
        <v>1209635</v>
      </c>
      <c r="T73" s="325"/>
      <c r="U73" s="495">
        <f t="shared" si="15"/>
        <v>1209635</v>
      </c>
      <c r="V73" s="325"/>
      <c r="W73" s="314" t="s">
        <v>21</v>
      </c>
      <c r="X73" s="363">
        <f>Input!$UW$17</f>
        <v>1209635</v>
      </c>
      <c r="Y73" s="319">
        <f t="shared" si="13"/>
        <v>0</v>
      </c>
      <c r="Z73" s="320"/>
      <c r="AA73" s="320"/>
      <c r="AB73" s="320"/>
    </row>
    <row r="74" spans="1:28" s="149" customFormat="1" ht="13.5" thickTop="1">
      <c r="A74" s="147">
        <v>57</v>
      </c>
      <c r="B74" s="161" t="s">
        <v>1363</v>
      </c>
      <c r="C74" s="161"/>
      <c r="D74" s="355">
        <f>Input!$OJ$17</f>
        <v>0</v>
      </c>
      <c r="E74" s="355">
        <f>Input!$OK$17</f>
        <v>0</v>
      </c>
      <c r="F74" s="355">
        <f>Input!$OL$17</f>
        <v>2596322</v>
      </c>
      <c r="G74" s="355">
        <f>Input!$OM$17</f>
        <v>0</v>
      </c>
      <c r="H74" s="355">
        <f>Input!$ON$17</f>
        <v>0</v>
      </c>
      <c r="I74" s="355">
        <f>Input!$OO$17</f>
        <v>0</v>
      </c>
      <c r="J74" s="355">
        <f>Input!$OP$17</f>
        <v>0</v>
      </c>
      <c r="K74" s="355">
        <f>Input!$OQ$17</f>
        <v>0</v>
      </c>
      <c r="L74" s="355">
        <f>Input!$OR$17</f>
        <v>0</v>
      </c>
      <c r="M74" s="357">
        <f t="shared" si="12"/>
        <v>2596322</v>
      </c>
      <c r="O74" s="326"/>
      <c r="P74" s="858">
        <f>Input!$TT$17</f>
        <v>0</v>
      </c>
      <c r="Q74" s="327"/>
      <c r="R74" s="328"/>
      <c r="S74" s="329">
        <f>SUM(S65:S73)</f>
        <v>111424769</v>
      </c>
      <c r="T74" s="328"/>
      <c r="U74" s="495">
        <f t="shared" si="15"/>
        <v>2596322</v>
      </c>
      <c r="V74" s="328"/>
      <c r="W74" s="314" t="s">
        <v>22</v>
      </c>
      <c r="X74" s="363">
        <f>Input!$UX$17</f>
        <v>2596322</v>
      </c>
      <c r="Y74" s="319">
        <f t="shared" si="13"/>
        <v>0</v>
      </c>
      <c r="Z74" s="320"/>
      <c r="AA74" s="320"/>
      <c r="AB74" s="320"/>
    </row>
    <row r="75" spans="1:28" s="149" customFormat="1">
      <c r="A75" s="147">
        <v>58</v>
      </c>
      <c r="B75" s="162" t="s">
        <v>62</v>
      </c>
      <c r="C75" s="162"/>
      <c r="D75" s="355">
        <f>Input!$OS$17</f>
        <v>813120</v>
      </c>
      <c r="E75" s="355">
        <f>Input!$OT$17</f>
        <v>8505</v>
      </c>
      <c r="F75" s="355">
        <f>Input!$OU$17</f>
        <v>0</v>
      </c>
      <c r="G75" s="355">
        <f>Input!$OV$17</f>
        <v>568591</v>
      </c>
      <c r="H75" s="355">
        <f>Input!$OW$17</f>
        <v>0</v>
      </c>
      <c r="I75" s="355">
        <f>Input!$OX$17</f>
        <v>0</v>
      </c>
      <c r="J75" s="355">
        <f>Input!$OY$17</f>
        <v>0</v>
      </c>
      <c r="K75" s="355">
        <f>Input!$OZ$17</f>
        <v>0</v>
      </c>
      <c r="L75" s="355">
        <f>Input!$PA$17</f>
        <v>0</v>
      </c>
      <c r="M75" s="357">
        <f t="shared" si="12"/>
        <v>1390216</v>
      </c>
      <c r="O75" s="326"/>
      <c r="P75" s="326">
        <f>SUM(P65:P74)</f>
        <v>1390216</v>
      </c>
      <c r="Q75" s="327" t="s">
        <v>185</v>
      </c>
      <c r="R75" s="328"/>
      <c r="S75" s="330"/>
      <c r="T75" s="328"/>
      <c r="U75" s="495">
        <f t="shared" si="15"/>
        <v>1390216</v>
      </c>
      <c r="V75" s="328"/>
      <c r="W75" s="314" t="s">
        <v>186</v>
      </c>
      <c r="X75" s="331">
        <f>M93*-1</f>
        <v>24893078</v>
      </c>
      <c r="Y75" s="319">
        <f>X75+M93</f>
        <v>0</v>
      </c>
      <c r="Z75" s="332"/>
      <c r="AA75" s="332"/>
      <c r="AB75" s="332"/>
    </row>
    <row r="76" spans="1:28" s="149" customFormat="1" ht="13.5" thickBot="1">
      <c r="A76" s="147">
        <v>59</v>
      </c>
      <c r="B76" s="163" t="s">
        <v>42</v>
      </c>
      <c r="C76" s="163"/>
      <c r="D76" s="359">
        <f>Input!$PB$17</f>
        <v>0</v>
      </c>
      <c r="E76" s="359">
        <f>Input!$PC$17</f>
        <v>0</v>
      </c>
      <c r="F76" s="359">
        <f>Input!$PD$17</f>
        <v>0</v>
      </c>
      <c r="G76" s="359">
        <f>Input!$PE$17</f>
        <v>0</v>
      </c>
      <c r="H76" s="359">
        <f>Input!$PF$17</f>
        <v>0</v>
      </c>
      <c r="I76" s="359">
        <f>Input!$PG$17</f>
        <v>0</v>
      </c>
      <c r="J76" s="359">
        <f>Input!$PH$17</f>
        <v>0</v>
      </c>
      <c r="K76" s="359">
        <f>Input!$PI$17</f>
        <v>0</v>
      </c>
      <c r="L76" s="359">
        <f>Input!$PJ$17</f>
        <v>0</v>
      </c>
      <c r="M76" s="357">
        <f t="shared" si="12"/>
        <v>0</v>
      </c>
      <c r="O76" s="326"/>
      <c r="P76" s="484" t="str">
        <f>IF(P75&lt;&gt;M75,"Out of Balance","Balanced")</f>
        <v>Balanced</v>
      </c>
      <c r="Q76" s="1322" t="s">
        <v>187</v>
      </c>
      <c r="R76" s="1323"/>
      <c r="S76" s="412">
        <f>Input!$UM$17</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29202748</v>
      </c>
      <c r="E77" s="356">
        <f t="shared" si="17"/>
        <v>70094242</v>
      </c>
      <c r="F77" s="356">
        <f t="shared" si="17"/>
        <v>2596322</v>
      </c>
      <c r="G77" s="356">
        <f t="shared" si="17"/>
        <v>20619312</v>
      </c>
      <c r="H77" s="356">
        <f t="shared" si="17"/>
        <v>0</v>
      </c>
      <c r="I77" s="356">
        <f t="shared" si="17"/>
        <v>0</v>
      </c>
      <c r="J77" s="356">
        <f t="shared" si="17"/>
        <v>1592833</v>
      </c>
      <c r="K77" s="356">
        <f t="shared" si="17"/>
        <v>0</v>
      </c>
      <c r="L77" s="356">
        <f t="shared" si="17"/>
        <v>0</v>
      </c>
      <c r="M77" s="356">
        <f t="shared" si="12"/>
        <v>124105457</v>
      </c>
      <c r="O77" s="50"/>
      <c r="P77" s="326"/>
      <c r="Q77" s="334" t="s">
        <v>188</v>
      </c>
      <c r="R77" s="335"/>
      <c r="S77" s="413">
        <f>Input!$UN$17</f>
        <v>0</v>
      </c>
      <c r="T77" s="336"/>
      <c r="U77" s="497">
        <f>SUM(U65:U76)</f>
        <v>124105457</v>
      </c>
      <c r="V77" s="336"/>
      <c r="W77" s="336"/>
      <c r="X77" s="337">
        <f>SUM(X65:X76)</f>
        <v>147608319</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111424769</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Input!$PK$17</f>
        <v>0</v>
      </c>
      <c r="E80" s="355">
        <f>Input!$PL$17</f>
        <v>0</v>
      </c>
      <c r="F80" s="355">
        <f>Input!$PM$17</f>
        <v>0</v>
      </c>
      <c r="G80" s="355">
        <f>Input!$PN$17</f>
        <v>0</v>
      </c>
      <c r="H80" s="355">
        <f>Input!$PO$17</f>
        <v>0</v>
      </c>
      <c r="I80" s="355">
        <f>Input!$PP$17</f>
        <v>0</v>
      </c>
      <c r="J80" s="355">
        <f>Input!$PQ$17</f>
        <v>-32010379</v>
      </c>
      <c r="K80" s="355">
        <f>Input!$PR$17</f>
        <v>0</v>
      </c>
      <c r="L80" s="355">
        <f>Input!$PS$17</f>
        <v>0</v>
      </c>
      <c r="M80" s="357">
        <f>D80+E80+F80+G80+H80+I80+J80+K80+L80</f>
        <v>-32010379</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Input!$PT$17</f>
        <v>-25482597</v>
      </c>
      <c r="E81" s="355">
        <f>Input!$PU$17</f>
        <v>2174505</v>
      </c>
      <c r="F81" s="355">
        <f>Input!$PV$17</f>
        <v>0</v>
      </c>
      <c r="G81" s="355">
        <f>Input!$PW$17</f>
        <v>-710967</v>
      </c>
      <c r="H81" s="355">
        <f>Input!$PX$17</f>
        <v>0</v>
      </c>
      <c r="I81" s="355">
        <f>Input!$PY$17</f>
        <v>104704</v>
      </c>
      <c r="J81" s="355">
        <f>Input!$PZ$17</f>
        <v>5200</v>
      </c>
      <c r="K81" s="355">
        <f>Input!$QA$17</f>
        <v>0</v>
      </c>
      <c r="L81" s="355">
        <f>Input!$QB$17</f>
        <v>0</v>
      </c>
      <c r="M81" s="357">
        <f>D81+E81+F81+G81+H81+I81+J81+K81+L81</f>
        <v>-23909155</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Input!$QC$17</f>
        <v>0</v>
      </c>
      <c r="E82" s="355">
        <f>Input!$QD$17</f>
        <v>0</v>
      </c>
      <c r="F82" s="355">
        <f>Input!$QE$17</f>
        <v>0</v>
      </c>
      <c r="G82" s="355">
        <f>Input!$QF$17</f>
        <v>0</v>
      </c>
      <c r="H82" s="355">
        <f>Input!$QG$17</f>
        <v>0</v>
      </c>
      <c r="I82" s="355">
        <f>Input!$QH$17</f>
        <v>0</v>
      </c>
      <c r="J82" s="355">
        <f>Input!$QI$17</f>
        <v>6200000</v>
      </c>
      <c r="K82" s="355">
        <f>Input!$QJ$17</f>
        <v>0</v>
      </c>
      <c r="L82" s="355">
        <f>Input!$QK$17</f>
        <v>0</v>
      </c>
      <c r="M82" s="357">
        <f>D82+E82+F82+G82+H82+I82+J82+K82+L82</f>
        <v>6200000</v>
      </c>
      <c r="O82" s="326"/>
      <c r="P82" s="1327" t="str">
        <f>IF(M91&lt;0,"Footnote 11 is N/A - No Data Entry Required","Footnote 11")</f>
        <v>Footnote 11 is N/A - No Data Entry Required</v>
      </c>
      <c r="Q82" s="1328"/>
      <c r="R82" s="1328"/>
      <c r="S82" s="1329"/>
      <c r="T82" s="343"/>
      <c r="U82" s="343"/>
      <c r="V82" s="305"/>
      <c r="W82" s="305"/>
      <c r="X82" s="305"/>
      <c r="Y82" s="305"/>
      <c r="Z82" s="305"/>
      <c r="AA82" s="305"/>
      <c r="AB82" s="305"/>
    </row>
    <row r="83" spans="1:28" s="149" customFormat="1" ht="13.5" thickTop="1">
      <c r="A83" s="147">
        <v>66</v>
      </c>
      <c r="B83" s="149" t="s">
        <v>43</v>
      </c>
      <c r="D83" s="355">
        <f>Input!$QL$17</f>
        <v>-19425620</v>
      </c>
      <c r="E83" s="355">
        <f>Input!$QM$17</f>
        <v>-521781</v>
      </c>
      <c r="F83" s="355">
        <f>Input!$QN$17</f>
        <v>-2937117</v>
      </c>
      <c r="G83" s="355">
        <f>Input!$QO$17</f>
        <v>-80650</v>
      </c>
      <c r="H83" s="355">
        <f>Input!$QP$17</f>
        <v>0</v>
      </c>
      <c r="I83" s="355">
        <f>Input!$QQ$17</f>
        <v>0</v>
      </c>
      <c r="J83" s="355">
        <f>Input!$QR$17</f>
        <v>0</v>
      </c>
      <c r="K83" s="355">
        <f>Input!$QS$17</f>
        <v>0</v>
      </c>
      <c r="L83" s="355">
        <f>Input!$QT$17</f>
        <v>0</v>
      </c>
      <c r="M83" s="357">
        <f>D83+E83+F83+G83+H83+I83+J83+K83+L83</f>
        <v>-22965168</v>
      </c>
      <c r="O83" s="346"/>
      <c r="P83" s="458" t="s">
        <v>596</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-44908217</v>
      </c>
      <c r="E84" s="356">
        <f t="shared" si="18"/>
        <v>1652724</v>
      </c>
      <c r="F84" s="356">
        <f t="shared" si="18"/>
        <v>-2937117</v>
      </c>
      <c r="G84" s="356">
        <f t="shared" si="18"/>
        <v>-791617</v>
      </c>
      <c r="H84" s="356">
        <f t="shared" si="18"/>
        <v>0</v>
      </c>
      <c r="I84" s="356">
        <f t="shared" si="18"/>
        <v>104704</v>
      </c>
      <c r="J84" s="356">
        <f t="shared" si="18"/>
        <v>-25805179</v>
      </c>
      <c r="K84" s="356">
        <f t="shared" si="18"/>
        <v>0</v>
      </c>
      <c r="L84" s="356">
        <f t="shared" si="18"/>
        <v>0</v>
      </c>
      <c r="M84" s="356">
        <f>D84+E84+F84+G84+H84+I84+J84+K84+L84</f>
        <v>-72684702</v>
      </c>
      <c r="O84" s="346"/>
      <c r="P84" s="462" t="s">
        <v>597</v>
      </c>
      <c r="Q84" s="347"/>
      <c r="R84" s="347"/>
      <c r="S84" s="492">
        <f>Input!$UY$17</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Input!$QU$17</f>
        <v>0</v>
      </c>
      <c r="E87" s="355">
        <f>Input!$QV$17</f>
        <v>0</v>
      </c>
      <c r="F87" s="355">
        <f>Input!$QW$17</f>
        <v>0</v>
      </c>
      <c r="G87" s="355">
        <f>Input!$QX$17</f>
        <v>118567</v>
      </c>
      <c r="H87" s="355">
        <f>Input!$QY$17</f>
        <v>0</v>
      </c>
      <c r="I87" s="355">
        <f>Input!$QZ$17</f>
        <v>587730</v>
      </c>
      <c r="J87" s="355">
        <f>Input!$RA$17</f>
        <v>0</v>
      </c>
      <c r="K87" s="355">
        <f>Input!$RB$17</f>
        <v>0</v>
      </c>
      <c r="L87" s="355">
        <f>Input!$RC$17</f>
        <v>0</v>
      </c>
      <c r="M87" s="357">
        <f>D87+E87+F87+G87+H87+I87+J87+K87+L87</f>
        <v>706297</v>
      </c>
      <c r="O87" s="51"/>
      <c r="P87" s="467" t="s">
        <v>599</v>
      </c>
      <c r="Q87" s="305"/>
      <c r="R87" s="347"/>
      <c r="S87" s="463">
        <f>Input!$UZ$17</f>
        <v>0</v>
      </c>
      <c r="T87" s="50"/>
      <c r="U87" s="50"/>
      <c r="V87" s="50"/>
      <c r="W87" s="305"/>
      <c r="X87" s="343"/>
      <c r="Y87" s="343"/>
      <c r="Z87" s="305"/>
      <c r="AA87" s="305"/>
      <c r="AB87" s="305"/>
    </row>
    <row r="88" spans="1:28" s="149" customFormat="1">
      <c r="A88" s="147">
        <v>71</v>
      </c>
      <c r="B88" s="149" t="s">
        <v>45</v>
      </c>
      <c r="D88" s="355">
        <f>Input!$RD$17</f>
        <v>0</v>
      </c>
      <c r="E88" s="355">
        <f>Input!$RE$17</f>
        <v>0</v>
      </c>
      <c r="F88" s="355">
        <f>Input!$RF$17</f>
        <v>0</v>
      </c>
      <c r="G88" s="355">
        <f>Input!$RG$17</f>
        <v>0</v>
      </c>
      <c r="H88" s="355">
        <f>Input!$RH$17</f>
        <v>0</v>
      </c>
      <c r="I88" s="355">
        <f>Input!$RI$17</f>
        <v>2264242</v>
      </c>
      <c r="J88" s="355">
        <f>Input!$RJ$17</f>
        <v>0</v>
      </c>
      <c r="K88" s="355">
        <f>Input!$RK$17</f>
        <v>0</v>
      </c>
      <c r="L88" s="355">
        <f>Input!$RL$17</f>
        <v>0</v>
      </c>
      <c r="M88" s="357">
        <f>D88+E88+F88+G88+H88+I88+J88+K88+L88</f>
        <v>2264242</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118567</v>
      </c>
      <c r="H89" s="356">
        <f t="shared" si="19"/>
        <v>0</v>
      </c>
      <c r="I89" s="356">
        <f t="shared" si="19"/>
        <v>2851972</v>
      </c>
      <c r="J89" s="356">
        <f t="shared" si="19"/>
        <v>0</v>
      </c>
      <c r="K89" s="356">
        <f t="shared" si="19"/>
        <v>0</v>
      </c>
      <c r="L89" s="356">
        <f t="shared" si="19"/>
        <v>0</v>
      </c>
      <c r="M89" s="356">
        <f>D89+E89+F89+G89+H89+I89+J89+K89+L89</f>
        <v>2970539</v>
      </c>
      <c r="O89" s="51"/>
      <c r="P89" s="470" t="s">
        <v>601</v>
      </c>
      <c r="Q89" s="305"/>
      <c r="R89" s="305"/>
      <c r="S89" s="464" t="str">
        <f>IFERROR(S85-S87,"")</f>
        <v/>
      </c>
      <c r="T89" s="50"/>
      <c r="U89" s="326"/>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-42335350</v>
      </c>
      <c r="E91" s="356">
        <f t="shared" si="20"/>
        <v>-13168134</v>
      </c>
      <c r="F91" s="356">
        <f t="shared" si="20"/>
        <v>-2381361</v>
      </c>
      <c r="G91" s="356">
        <f t="shared" si="20"/>
        <v>8984829</v>
      </c>
      <c r="H91" s="356">
        <f t="shared" si="20"/>
        <v>0</v>
      </c>
      <c r="I91" s="356">
        <f t="shared" si="20"/>
        <v>2956567</v>
      </c>
      <c r="J91" s="356">
        <f t="shared" si="20"/>
        <v>-27398012</v>
      </c>
      <c r="K91" s="356">
        <f t="shared" si="20"/>
        <v>0</v>
      </c>
      <c r="L91" s="356">
        <f>L63-L77+L84+L89</f>
        <v>122060</v>
      </c>
      <c r="M91" s="356">
        <f>D91+E91+F91+G91+H91+I91+J91+K91+L91</f>
        <v>-73219401</v>
      </c>
      <c r="O91" s="51"/>
      <c r="P91" s="471" t="s">
        <v>602</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Input!$RM$17</f>
        <v>0</v>
      </c>
      <c r="E93" s="355">
        <f>Input!$RN$17</f>
        <v>0</v>
      </c>
      <c r="F93" s="355">
        <f>Input!$RO$17</f>
        <v>0</v>
      </c>
      <c r="G93" s="355">
        <f>Input!$RP$17</f>
        <v>0</v>
      </c>
      <c r="H93" s="355">
        <f>Input!$RQ$17</f>
        <v>0</v>
      </c>
      <c r="I93" s="355">
        <f>Input!$RR$17</f>
        <v>0</v>
      </c>
      <c r="J93" s="355">
        <f>Input!$RS$17</f>
        <v>0</v>
      </c>
      <c r="K93" s="355">
        <f>Input!$RT$17</f>
        <v>0</v>
      </c>
      <c r="L93" s="355">
        <f>Input!$RU$17</f>
        <v>-24893078</v>
      </c>
      <c r="M93" s="357">
        <f>D93+E93+F93+G93+H93+I93+J93+K93+L93</f>
        <v>-24893078</v>
      </c>
      <c r="O93" s="299"/>
      <c r="P93" s="50"/>
      <c r="Q93" s="50"/>
      <c r="R93" s="50"/>
      <c r="S93" s="50"/>
      <c r="T93" s="50"/>
      <c r="U93" s="50"/>
      <c r="V93" s="50"/>
      <c r="W93" s="50"/>
      <c r="X93" s="50"/>
      <c r="Y93" s="50"/>
      <c r="Z93" s="50"/>
      <c r="AA93" s="50"/>
      <c r="AB93" s="50"/>
    </row>
    <row r="94" spans="1:28" s="149" customFormat="1">
      <c r="A94" s="147">
        <v>78</v>
      </c>
      <c r="B94" s="51" t="s">
        <v>94</v>
      </c>
      <c r="C94" s="51"/>
      <c r="D94" s="355">
        <f>Input!$RV$17</f>
        <v>0</v>
      </c>
      <c r="E94" s="355">
        <f>Input!$RW$17</f>
        <v>0</v>
      </c>
      <c r="F94" s="355">
        <f>Input!$RX$17</f>
        <v>0</v>
      </c>
      <c r="G94" s="355">
        <f>Input!$RY$17</f>
        <v>0</v>
      </c>
      <c r="H94" s="355">
        <f>Input!$RZ$17</f>
        <v>0</v>
      </c>
      <c r="I94" s="355">
        <f>Input!$SA$17</f>
        <v>0</v>
      </c>
      <c r="J94" s="355">
        <f>Input!$SB$17</f>
        <v>0</v>
      </c>
      <c r="K94" s="355">
        <f>Input!$SC$17</f>
        <v>0</v>
      </c>
      <c r="L94" s="355">
        <f>Input!$SD$17</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Input!$SE$17</f>
        <v>0</v>
      </c>
      <c r="E95" s="355">
        <f>Input!$SF$17</f>
        <v>0</v>
      </c>
      <c r="F95" s="355">
        <f>Input!$SG$17</f>
        <v>0</v>
      </c>
      <c r="G95" s="355">
        <f>Input!$SH$17</f>
        <v>0</v>
      </c>
      <c r="H95" s="355">
        <f>Input!$SI$17</f>
        <v>0</v>
      </c>
      <c r="I95" s="355">
        <f>Input!$SJ$17</f>
        <v>0</v>
      </c>
      <c r="J95" s="355">
        <f>Input!$SK$17</f>
        <v>0</v>
      </c>
      <c r="K95" s="355">
        <f>Input!$SL$17</f>
        <v>0</v>
      </c>
      <c r="L95" s="355">
        <f>Input!$SM$17</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Input!$SN$17</f>
        <v>0</v>
      </c>
      <c r="E96" s="355">
        <f>Input!$SO$17</f>
        <v>0</v>
      </c>
      <c r="F96" s="355">
        <f>Input!$SP$17</f>
        <v>0</v>
      </c>
      <c r="G96" s="355">
        <f>Input!$SQ$17</f>
        <v>0</v>
      </c>
      <c r="H96" s="355">
        <f>Input!$SR$17</f>
        <v>0</v>
      </c>
      <c r="I96" s="355">
        <f>Input!$SS$17</f>
        <v>0</v>
      </c>
      <c r="J96" s="355">
        <f>Input!$ST$17</f>
        <v>0</v>
      </c>
      <c r="K96" s="355">
        <f>Input!$SU$17</f>
        <v>0</v>
      </c>
      <c r="L96" s="355">
        <f>Input!$SV$17</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Input!$SW$17</f>
        <v>0</v>
      </c>
      <c r="E97" s="355">
        <f>Input!$SX$17</f>
        <v>0</v>
      </c>
      <c r="F97" s="355">
        <f>Input!$SY$17</f>
        <v>0</v>
      </c>
      <c r="G97" s="355">
        <f>Input!$SZ$17</f>
        <v>0</v>
      </c>
      <c r="H97" s="355">
        <f>Input!$TA$17</f>
        <v>0</v>
      </c>
      <c r="I97" s="355">
        <f>Input!$TB$17</f>
        <v>0</v>
      </c>
      <c r="J97" s="355">
        <f>Input!$TC$17</f>
        <v>0</v>
      </c>
      <c r="K97" s="355">
        <f>Input!$TD$17</f>
        <v>0</v>
      </c>
      <c r="L97" s="355">
        <f>Input!$TE$17</f>
        <v>33400595</v>
      </c>
      <c r="M97" s="357">
        <f>D97+E97+F97+G97+H97+I97+J97+K97+L97</f>
        <v>33400595</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-42335350</v>
      </c>
      <c r="E98" s="360">
        <f t="shared" si="21"/>
        <v>-13168134</v>
      </c>
      <c r="F98" s="360">
        <f t="shared" si="21"/>
        <v>-2381361</v>
      </c>
      <c r="G98" s="360">
        <f t="shared" si="21"/>
        <v>8984829</v>
      </c>
      <c r="H98" s="360">
        <f t="shared" si="21"/>
        <v>0</v>
      </c>
      <c r="I98" s="360">
        <f t="shared" si="21"/>
        <v>2956567</v>
      </c>
      <c r="J98" s="360">
        <f t="shared" si="21"/>
        <v>-27398012</v>
      </c>
      <c r="K98" s="360">
        <f t="shared" si="21"/>
        <v>0</v>
      </c>
      <c r="L98" s="360">
        <f t="shared" si="21"/>
        <v>8629577</v>
      </c>
      <c r="M98" s="360">
        <f>SUM(M91:M97)</f>
        <v>-64711884</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8" t="str">
        <f>Input!$VC$17</f>
        <v>Marcy Lowther</v>
      </c>
      <c r="Q103" s="1334"/>
      <c r="R103" s="1333" t="str">
        <f>Input!$VD$17</f>
        <v>512-471-2808</v>
      </c>
      <c r="S103" s="1334"/>
      <c r="T103" s="305"/>
      <c r="U103" s="1335" t="str">
        <f>HYPERLINK("Mailto:"&amp;Input!$VE$17,Input!$VE$17)</f>
        <v>mlowther@austin.utexas.edu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Input!$TF$17</f>
        <v>-64711884</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IF($L$123&lt;&gt;Input!$F$17,"Out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16070146</v>
      </c>
      <c r="E110" s="357">
        <f>SUM($E$10:$E$14)+SUM($E$19:$E$28)+SUM($E$50)+$E$53+SUM($E$56:$E$61)+SUM($E$65:$E$76)+SUM($E$80:$E$83)+SUM($E$87:$E$88)+SUM($E$93:$E$97)+SUM($E$32:$E$41)+$E$47</f>
        <v>127020350</v>
      </c>
      <c r="F110" s="357">
        <f>SUM($F$10:$F$14)+SUM($F$19:$F$28)+SUM($F$50)+$F$53+SUM($F$56:$F$61)+SUM($F$65:$F$76)+SUM($F$80:$F$83)+SUM($F$87:$F$88)+SUM($F$93:$F$97)+SUM($F$32:$F$41)+$F$47</f>
        <v>2811283</v>
      </c>
      <c r="G110" s="357">
        <f>SUM($G$10:$G$14)+SUM($G$19:$G$28)+SUM($G$50)+$G$53+SUM($G$56:$G$61)+SUM($G$65:$G$76)+SUM($G$80:$G$83)+SUM($G$87:$G$88)+SUM($G$93:$G$97)+SUM($G$32:$G$41)+$G$47</f>
        <v>50223453</v>
      </c>
      <c r="H110" s="357">
        <f>SUM($H$10:$H$14)+SUM($H$19:$H$28)+SUM($H$50)+$H$53+SUM($H$56:$H$61)+SUM($H$65:$H$76)+SUM($H$80:$H$83)+SUM($H$87:$H$88)+SUM($H$93:$H$97)+SUM($H$32:$H$41)+$H$47</f>
        <v>0</v>
      </c>
      <c r="I110" s="357">
        <f>SUM($I$10:$I$14)+SUM($I$19:$I$28)+SUM($I$50)+$I$53+SUM($I$56:$I$61)+SUM($I$65:$I$76)+SUM($I$80:$I$83)+SUM($I$87:$I$88)+SUM($I$93:$I$97)+SUM($I$32:$I$41)+$I$47</f>
        <v>2956567</v>
      </c>
      <c r="J110" s="357">
        <f>SUM($J$10:$J$14)+SUM($J$19:$J$28)+SUM($J$50)+$J$53+SUM($J$56:$J$61)+SUM($J$65:$J$76)+SUM($J$80:$J$83)+SUM($J$87:$J$88)+SUM($J$93:$J$97)+SUM($J$32:$J$41)+$J$47</f>
        <v>-24212346</v>
      </c>
      <c r="K110" s="357">
        <f>SUM($K$10:$K$14)+SUM($K$19:$K$28)+SUM($K$50)+$K$53+SUM($K$56:$K$61)+SUM($K$65:$K$76)+SUM($K$80:$K$83)+SUM($K$87:$K$88)+SUM($K$93:$K$97)+SUM($K$32:$K$41)+$K$47</f>
        <v>0</v>
      </c>
      <c r="L110" s="357">
        <f>SUM($L$10:$L$14)+SUM($L$19:$L$28)+SUM($L$50)+$L$53+SUM($L$56:$L$61)+SUM($L$65:$L$76)+SUM($L$80:$L$83)+SUM($L$87:$L$88)+SUM($L$93:$L$97)+SUM($L$32:$L$41)+$L$47</f>
        <v>8629577</v>
      </c>
      <c r="M110" s="51"/>
      <c r="O110" s="51"/>
    </row>
    <row r="111" spans="1:28" s="50" customFormat="1">
      <c r="A111" s="293"/>
      <c r="B111" s="51"/>
      <c r="C111" s="51"/>
      <c r="D111" s="51"/>
      <c r="E111" s="51"/>
      <c r="F111" s="51"/>
      <c r="G111" s="51"/>
      <c r="H111" s="51"/>
      <c r="I111" s="51"/>
      <c r="J111" s="51"/>
      <c r="K111" s="51"/>
      <c r="L111" s="357">
        <f>SUM($D$110:$L$110)</f>
        <v>183499030</v>
      </c>
      <c r="M111" s="51"/>
      <c r="O111" s="51"/>
    </row>
    <row r="112" spans="1:28" s="50" customFormat="1">
      <c r="A112" s="293"/>
      <c r="B112" s="51"/>
      <c r="C112" s="51"/>
      <c r="D112" s="51"/>
      <c r="E112" s="51"/>
      <c r="F112" s="51"/>
      <c r="G112" s="51"/>
      <c r="H112" s="51"/>
      <c r="I112" s="51"/>
      <c r="J112" s="51" t="s">
        <v>1249</v>
      </c>
      <c r="K112" s="51"/>
      <c r="L112" s="357">
        <f>$M$105</f>
        <v>-64711884</v>
      </c>
      <c r="M112" s="51"/>
      <c r="O112" s="51"/>
    </row>
    <row r="113" spans="1:15" s="50" customFormat="1">
      <c r="A113" s="293"/>
      <c r="B113" s="51"/>
      <c r="C113" s="51"/>
      <c r="D113" s="51"/>
      <c r="E113" s="51"/>
      <c r="F113" s="51"/>
      <c r="G113" s="51"/>
      <c r="H113" s="51"/>
      <c r="I113" s="51"/>
      <c r="J113" s="51" t="s">
        <v>1250</v>
      </c>
      <c r="K113" s="51"/>
      <c r="L113" s="143">
        <f>$Q$32</f>
        <v>2871864</v>
      </c>
      <c r="M113" s="51"/>
      <c r="O113" s="51"/>
    </row>
    <row r="114" spans="1:15" s="50" customFormat="1">
      <c r="A114" s="293"/>
      <c r="B114" s="51"/>
      <c r="C114" s="51"/>
      <c r="D114" s="51"/>
      <c r="E114" s="51"/>
      <c r="F114" s="51"/>
      <c r="G114" s="51"/>
      <c r="H114" s="51"/>
      <c r="I114" s="51"/>
      <c r="J114" s="51" t="s">
        <v>1250</v>
      </c>
      <c r="K114" s="51"/>
      <c r="L114" s="143">
        <f>$R$34</f>
        <v>-334203</v>
      </c>
      <c r="M114" s="51"/>
      <c r="O114" s="51"/>
    </row>
    <row r="115" spans="1:15" s="50" customFormat="1">
      <c r="A115" s="293"/>
      <c r="B115" s="51"/>
      <c r="C115" s="51"/>
      <c r="D115" s="51"/>
      <c r="E115" s="51"/>
      <c r="F115" s="51"/>
      <c r="G115" s="51"/>
      <c r="H115" s="51"/>
      <c r="I115" s="51"/>
      <c r="J115" s="51" t="s">
        <v>27</v>
      </c>
      <c r="K115" s="51"/>
      <c r="L115" s="143">
        <f>SUM($P$65:$P$74)</f>
        <v>1390216</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8491533</v>
      </c>
      <c r="M117" s="51"/>
      <c r="O117" s="51"/>
    </row>
    <row r="118" spans="1:15" s="50" customFormat="1">
      <c r="A118" s="293"/>
      <c r="B118" s="51"/>
      <c r="C118" s="51"/>
      <c r="D118" s="51"/>
      <c r="E118" s="51"/>
      <c r="F118" s="51"/>
      <c r="G118" s="51"/>
      <c r="H118" s="51"/>
      <c r="I118" s="51"/>
      <c r="J118" s="51" t="s">
        <v>608</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122715241</v>
      </c>
      <c r="M119" s="51"/>
      <c r="O119" s="51"/>
    </row>
    <row r="120" spans="1:15" s="50" customFormat="1">
      <c r="A120" s="293"/>
      <c r="B120" s="51"/>
      <c r="C120" s="51"/>
      <c r="D120" s="51"/>
      <c r="E120" s="51"/>
      <c r="F120" s="51"/>
      <c r="G120" s="51"/>
      <c r="H120" s="51"/>
      <c r="I120" s="51"/>
      <c r="J120" s="51" t="s">
        <v>609</v>
      </c>
      <c r="K120" s="51"/>
      <c r="L120" s="143">
        <f>$S$84</f>
        <v>0</v>
      </c>
      <c r="M120" s="51"/>
      <c r="O120" s="51"/>
    </row>
    <row r="121" spans="1:15" s="50" customFormat="1">
      <c r="A121" s="293"/>
      <c r="B121" s="51"/>
      <c r="C121" s="51"/>
      <c r="D121" s="51"/>
      <c r="E121" s="51"/>
      <c r="F121" s="51"/>
      <c r="G121" s="51"/>
      <c r="H121" s="51"/>
      <c r="I121" s="51"/>
      <c r="J121" s="51" t="s">
        <v>609</v>
      </c>
      <c r="K121" s="51"/>
      <c r="L121" s="143">
        <f>$S$87</f>
        <v>0</v>
      </c>
      <c r="M121" s="51"/>
      <c r="O121" s="51"/>
    </row>
    <row r="122" spans="1:15" s="50" customFormat="1">
      <c r="A122" s="293"/>
      <c r="B122" s="51"/>
      <c r="C122" s="51"/>
      <c r="D122" s="51"/>
      <c r="E122" s="51"/>
      <c r="F122" s="51"/>
      <c r="G122" s="51"/>
      <c r="H122" s="51"/>
      <c r="I122" s="51"/>
      <c r="J122" s="51" t="s">
        <v>1255</v>
      </c>
      <c r="K122" s="51"/>
      <c r="L122" s="935">
        <f>VLOOKUP(B2,Names!$B$10:$C$88,2,FALSE)</f>
        <v>203658</v>
      </c>
      <c r="M122" s="51"/>
      <c r="O122" s="51"/>
    </row>
    <row r="123" spans="1:15" s="50" customFormat="1">
      <c r="A123" s="293"/>
      <c r="B123" s="51"/>
      <c r="C123" s="51"/>
      <c r="D123" s="51"/>
      <c r="E123" s="51"/>
      <c r="F123" s="51"/>
      <c r="G123" s="51"/>
      <c r="H123" s="51"/>
      <c r="I123" s="51"/>
      <c r="J123" s="51"/>
      <c r="K123" s="51"/>
      <c r="L123" s="486">
        <f>SUM($L$111:$L$122)</f>
        <v>254125455</v>
      </c>
      <c r="M123" s="51"/>
      <c r="O123" s="51"/>
    </row>
  </sheetData>
  <mergeCells count="27">
    <mergeCell ref="B2:F2"/>
    <mergeCell ref="B3:F3"/>
    <mergeCell ref="B4:F4"/>
    <mergeCell ref="P4:Q4"/>
    <mergeCell ref="B6:M6"/>
    <mergeCell ref="O19:S19"/>
    <mergeCell ref="U19:Y19"/>
    <mergeCell ref="O60:S60"/>
    <mergeCell ref="W60:Y60"/>
    <mergeCell ref="P10:P11"/>
    <mergeCell ref="P82:S82"/>
    <mergeCell ref="O61:O64"/>
    <mergeCell ref="P61:P64"/>
    <mergeCell ref="Q61:Q64"/>
    <mergeCell ref="R61:R64"/>
    <mergeCell ref="S61:S64"/>
    <mergeCell ref="W61:W64"/>
    <mergeCell ref="X61:X64"/>
    <mergeCell ref="Y61:Y64"/>
    <mergeCell ref="G64:K64"/>
    <mergeCell ref="Q76:R76"/>
    <mergeCell ref="U61:U64"/>
    <mergeCell ref="P100:V100"/>
    <mergeCell ref="P103:Q103"/>
    <mergeCell ref="R103:S103"/>
    <mergeCell ref="U103:V103"/>
    <mergeCell ref="P105:V106"/>
  </mergeCells>
  <conditionalFormatting sqref="D99:M99 D98:L98">
    <cfRule type="cellIs" dxfId="120" priority="77" stopIfTrue="1" operator="notEqual">
      <formula>#REF!</formula>
    </cfRule>
  </conditionalFormatting>
  <conditionalFormatting sqref="M77">
    <cfRule type="cellIs" dxfId="119" priority="76" stopIfTrue="1" operator="notEqual">
      <formula>SUM($M$65:$M$76)</formula>
    </cfRule>
  </conditionalFormatting>
  <conditionalFormatting sqref="M89">
    <cfRule type="cellIs" dxfId="118" priority="75" stopIfTrue="1" operator="notEqual">
      <formula>SUM($M$87:$M$88)</formula>
    </cfRule>
  </conditionalFormatting>
  <conditionalFormatting sqref="M84">
    <cfRule type="cellIs" dxfId="117" priority="74" stopIfTrue="1" operator="notEqual">
      <formula>SUM($M$80:$M$83)</formula>
    </cfRule>
  </conditionalFormatting>
  <conditionalFormatting sqref="M62">
    <cfRule type="cellIs" dxfId="116" priority="73" stopIfTrue="1" operator="notEqual">
      <formula>SUM($M$56:$M$61)</formula>
    </cfRule>
  </conditionalFormatting>
  <conditionalFormatting sqref="M15">
    <cfRule type="cellIs" dxfId="115" priority="72" stopIfTrue="1" operator="notEqual">
      <formula>SUM($M$10:$M$14)</formula>
    </cfRule>
  </conditionalFormatting>
  <conditionalFormatting sqref="R99:S102 X95:AB102 U93:W100 T95:T102 O93:O100 P94:P101 Q93:Q100 S95:S98 R95:R97 D98:L98">
    <cfRule type="cellIs" dxfId="114" priority="71" stopIfTrue="1" operator="notEqual">
      <formula>#REF!</formula>
    </cfRule>
  </conditionalFormatting>
  <conditionalFormatting sqref="G64:K64">
    <cfRule type="expression" dxfId="113" priority="69">
      <formula>$R$98&lt;&gt;0</formula>
    </cfRule>
    <cfRule type="expression" dxfId="112" priority="70">
      <formula>$T$93&gt;0</formula>
    </cfRule>
  </conditionalFormatting>
  <conditionalFormatting sqref="O11:P11">
    <cfRule type="expression" dxfId="111" priority="68">
      <formula>#REF!&lt;&gt;$N$11</formula>
    </cfRule>
  </conditionalFormatting>
  <conditionalFormatting sqref="O13">
    <cfRule type="expression" dxfId="110" priority="67">
      <formula>$P$13&lt;&gt;$M$13</formula>
    </cfRule>
  </conditionalFormatting>
  <conditionalFormatting sqref="O12">
    <cfRule type="expression" dxfId="109" priority="66">
      <formula>$P$12&lt;&gt;$M$12</formula>
    </cfRule>
  </conditionalFormatting>
  <conditionalFormatting sqref="U100:V100 R102 U101 P100:P101 Q100:R100 S100:T102 S105:U106">
    <cfRule type="cellIs" dxfId="108" priority="61" stopIfTrue="1" operator="notEqual">
      <formula>#REF!</formula>
    </cfRule>
  </conditionalFormatting>
  <conditionalFormatting sqref="P76">
    <cfRule type="expression" dxfId="107" priority="60">
      <formula>$P$75&lt;&gt;$M$75</formula>
    </cfRule>
  </conditionalFormatting>
  <conditionalFormatting sqref="Y78">
    <cfRule type="expression" dxfId="106" priority="59">
      <formula>$Y$77&lt;&gt;0</formula>
    </cfRule>
  </conditionalFormatting>
  <conditionalFormatting sqref="Q36">
    <cfRule type="expression" dxfId="105" priority="58">
      <formula>#REF!&lt;&gt;#REF!</formula>
    </cfRule>
  </conditionalFormatting>
  <conditionalFormatting sqref="R35">
    <cfRule type="expression" dxfId="104" priority="57">
      <formula>#REF!&lt;&gt;0</formula>
    </cfRule>
  </conditionalFormatting>
  <conditionalFormatting sqref="Q35">
    <cfRule type="expression" dxfId="103" priority="56">
      <formula>#REF!&lt;&gt;0</formula>
    </cfRule>
  </conditionalFormatting>
  <conditionalFormatting sqref="R36">
    <cfRule type="expression" dxfId="102" priority="55">
      <formula>#REF!&lt;&gt;#REF!</formula>
    </cfRule>
  </conditionalFormatting>
  <conditionalFormatting sqref="D99:M99 D98:L98">
    <cfRule type="cellIs" dxfId="101" priority="54" stopIfTrue="1" operator="notEqual">
      <formula>#REF!</formula>
    </cfRule>
  </conditionalFormatting>
  <conditionalFormatting sqref="M77">
    <cfRule type="cellIs" dxfId="100" priority="53" stopIfTrue="1" operator="notEqual">
      <formula>SUM($M$65:$M$76)</formula>
    </cfRule>
  </conditionalFormatting>
  <conditionalFormatting sqref="M89">
    <cfRule type="cellIs" dxfId="99" priority="52" stopIfTrue="1" operator="notEqual">
      <formula>SUM($M$87:$M$88)</formula>
    </cfRule>
  </conditionalFormatting>
  <conditionalFormatting sqref="M84">
    <cfRule type="cellIs" dxfId="98" priority="51" stopIfTrue="1" operator="notEqual">
      <formula>SUM($M$80:$M$83)</formula>
    </cfRule>
  </conditionalFormatting>
  <conditionalFormatting sqref="M62">
    <cfRule type="cellIs" dxfId="97" priority="50" stopIfTrue="1" operator="notEqual">
      <formula>SUM($M$56:$M$61)</formula>
    </cfRule>
  </conditionalFormatting>
  <conditionalFormatting sqref="M15">
    <cfRule type="cellIs" dxfId="96" priority="49" stopIfTrue="1" operator="notEqual">
      <formula>SUM($M$10:$M$14)</formula>
    </cfRule>
  </conditionalFormatting>
  <conditionalFormatting sqref="R99:S102 X95:AB102 U93:W100 T95:T102 O93:O100 P94:P101 Q93:Q100 S95:S98 R95:R97 D99:M99 D98:L98">
    <cfRule type="cellIs" dxfId="95" priority="48" stopIfTrue="1" operator="notEqual">
      <formula>#REF!</formula>
    </cfRule>
  </conditionalFormatting>
  <conditionalFormatting sqref="G64:K64">
    <cfRule type="expression" dxfId="94" priority="46">
      <formula>$R$98&lt;&gt;0</formula>
    </cfRule>
    <cfRule type="expression" dxfId="93" priority="47">
      <formula>$T$93&gt;0</formula>
    </cfRule>
  </conditionalFormatting>
  <conditionalFormatting sqref="O11:P11">
    <cfRule type="expression" dxfId="92" priority="45">
      <formula>#REF!&lt;&gt;$N$11</formula>
    </cfRule>
  </conditionalFormatting>
  <conditionalFormatting sqref="O13">
    <cfRule type="expression" dxfId="91" priority="44">
      <formula>$Q$13&lt;&gt;$N$13</formula>
    </cfRule>
  </conditionalFormatting>
  <conditionalFormatting sqref="O12">
    <cfRule type="expression" dxfId="90" priority="43">
      <formula>$Q$12&lt;&gt;$N$12</formula>
    </cfRule>
  </conditionalFormatting>
  <conditionalFormatting sqref="U100:V100 R102 U101 P100:P101 Q100:R100 S100:T102 S105:U106">
    <cfRule type="cellIs" dxfId="89" priority="38" stopIfTrue="1" operator="notEqual">
      <formula>#REF!</formula>
    </cfRule>
  </conditionalFormatting>
  <conditionalFormatting sqref="P76">
    <cfRule type="expression" dxfId="88" priority="37">
      <formula>$P$75&lt;&gt;$M$75</formula>
    </cfRule>
  </conditionalFormatting>
  <conditionalFormatting sqref="Y78">
    <cfRule type="expression" dxfId="87" priority="36">
      <formula>$Y$77&lt;&gt;0</formula>
    </cfRule>
  </conditionalFormatting>
  <conditionalFormatting sqref="Q36">
    <cfRule type="expression" dxfId="86" priority="35">
      <formula>#REF!&lt;&gt;#REF!</formula>
    </cfRule>
  </conditionalFormatting>
  <conditionalFormatting sqref="R35">
    <cfRule type="expression" dxfId="85" priority="34">
      <formula>#REF!&lt;&gt;0</formula>
    </cfRule>
  </conditionalFormatting>
  <conditionalFormatting sqref="Q35">
    <cfRule type="expression" dxfId="84" priority="33">
      <formula>#REF!&lt;&gt;0</formula>
    </cfRule>
  </conditionalFormatting>
  <conditionalFormatting sqref="R36">
    <cfRule type="expression" dxfId="83" priority="32">
      <formula>#REF!&lt;&gt;#REF!</formula>
    </cfRule>
  </conditionalFormatting>
  <conditionalFormatting sqref="D99:M99 D98:L98">
    <cfRule type="cellIs" dxfId="82" priority="31" stopIfTrue="1" operator="notEqual">
      <formula>#REF!</formula>
    </cfRule>
  </conditionalFormatting>
  <conditionalFormatting sqref="M77">
    <cfRule type="cellIs" dxfId="81" priority="30" stopIfTrue="1" operator="notEqual">
      <formula>SUM($M$65:$M$76)</formula>
    </cfRule>
  </conditionalFormatting>
  <conditionalFormatting sqref="M89">
    <cfRule type="cellIs" dxfId="80" priority="29" stopIfTrue="1" operator="notEqual">
      <formula>SUM($M$87:$M$88)</formula>
    </cfRule>
  </conditionalFormatting>
  <conditionalFormatting sqref="M84">
    <cfRule type="cellIs" dxfId="79" priority="28" stopIfTrue="1" operator="notEqual">
      <formula>SUM($M$80:$M$83)</formula>
    </cfRule>
  </conditionalFormatting>
  <conditionalFormatting sqref="M62">
    <cfRule type="cellIs" dxfId="78" priority="27" stopIfTrue="1" operator="notEqual">
      <formula>SUM($M$56:$M$61)</formula>
    </cfRule>
  </conditionalFormatting>
  <conditionalFormatting sqref="M15">
    <cfRule type="cellIs" dxfId="77" priority="26" stopIfTrue="1" operator="notEqual">
      <formula>SUM($M$10:$M$14)</formula>
    </cfRule>
  </conditionalFormatting>
  <conditionalFormatting sqref="D98:L98">
    <cfRule type="cellIs" dxfId="76" priority="25" stopIfTrue="1" operator="notEqual">
      <formula>#REF!</formula>
    </cfRule>
  </conditionalFormatting>
  <conditionalFormatting sqref="G64:K64">
    <cfRule type="expression" dxfId="75" priority="24">
      <formula>$R$98&lt;&gt;0</formula>
    </cfRule>
  </conditionalFormatting>
  <conditionalFormatting sqref="O11:P11">
    <cfRule type="expression" dxfId="74" priority="23">
      <formula>#REF!&lt;&gt;$N$11</formula>
    </cfRule>
  </conditionalFormatting>
  <conditionalFormatting sqref="O13">
    <cfRule type="expression" dxfId="73" priority="22">
      <formula>$Q$13&lt;&gt;$N$13</formula>
    </cfRule>
  </conditionalFormatting>
  <conditionalFormatting sqref="O12">
    <cfRule type="expression" dxfId="72" priority="21">
      <formula>$Q$12&lt;&gt;$N$12</formula>
    </cfRule>
  </conditionalFormatting>
  <conditionalFormatting sqref="U100:V100 R102 U101 P100:P101 Q100:R100 S100:T102 S105:U106">
    <cfRule type="cellIs" dxfId="71" priority="16" stopIfTrue="1" operator="notEqual">
      <formula>#REF!</formula>
    </cfRule>
  </conditionalFormatting>
  <conditionalFormatting sqref="P76">
    <cfRule type="expression" dxfId="70" priority="15">
      <formula>$P$75&lt;&gt;$M$75</formula>
    </cfRule>
  </conditionalFormatting>
  <conditionalFormatting sqref="Y78">
    <cfRule type="expression" dxfId="69" priority="14">
      <formula>$Y$77&lt;&gt;0</formula>
    </cfRule>
  </conditionalFormatting>
  <conditionalFormatting sqref="Q36:R36">
    <cfRule type="expression" dxfId="68" priority="13">
      <formula>#REF!&lt;&gt;#REF!</formula>
    </cfRule>
  </conditionalFormatting>
  <conditionalFormatting sqref="R35">
    <cfRule type="expression" dxfId="67" priority="12">
      <formula>#REF!&lt;&gt;0</formula>
    </cfRule>
  </conditionalFormatting>
  <conditionalFormatting sqref="Q35">
    <cfRule type="expression" dxfId="66" priority="11">
      <formula>#REF!&lt;&gt;0</formula>
    </cfRule>
  </conditionalFormatting>
  <conditionalFormatting sqref="S91">
    <cfRule type="expression" priority="9" stopIfTrue="1">
      <formula>$N$91&lt;0</formula>
    </cfRule>
    <cfRule type="expression" dxfId="65" priority="10">
      <formula>$T$91&lt;&gt;0</formula>
    </cfRule>
  </conditionalFormatting>
  <conditionalFormatting sqref="S91">
    <cfRule type="expression" priority="7" stopIfTrue="1">
      <formula>$N$91&lt;0</formula>
    </cfRule>
    <cfRule type="expression" dxfId="64" priority="8">
      <formula>$T$91&lt;&gt;0</formula>
    </cfRule>
  </conditionalFormatting>
  <conditionalFormatting sqref="S91">
    <cfRule type="expression" priority="5" stopIfTrue="1">
      <formula>$N$91&lt;0</formula>
    </cfRule>
    <cfRule type="expression" dxfId="63" priority="6">
      <formula>$T$91&lt;&gt;0</formula>
    </cfRule>
  </conditionalFormatting>
  <conditionalFormatting sqref="S84 S87">
    <cfRule type="expression" dxfId="62" priority="3" stopIfTrue="1">
      <formula>$M$91&gt;=0</formula>
    </cfRule>
    <cfRule type="expression" priority="4">
      <formula>$M$91&lt;0</formula>
    </cfRule>
  </conditionalFormatting>
  <conditionalFormatting sqref="S84 S87">
    <cfRule type="expression" dxfId="61" priority="1" stopIfTrue="1">
      <formula>$M$91&gt;=0</formula>
    </cfRule>
    <cfRule type="expression" priority="2">
      <formula>$M$91&lt;0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9">
      <c r="B1" s="386" t="str">
        <f>'AUSM Chts'!$A$1</f>
        <v>The University of Texas at Austin Medical School (M)</v>
      </c>
      <c r="D1" s="737" t="s">
        <v>1123</v>
      </c>
    </row>
    <row r="2" spans="1:9">
      <c r="B2" s="386" t="str">
        <f>'Smmy Chts'!$A$2</f>
        <v>For the Year Ended August 31, 2018</v>
      </c>
    </row>
    <row r="3" spans="1:9">
      <c r="B3" s="386" t="str">
        <f>'Smmy Chts'!$A$3</f>
        <v>Source: FY 2018 Annual Financial Report</v>
      </c>
    </row>
    <row r="5" spans="1:9" customFormat="1">
      <c r="B5" s="507" t="s">
        <v>624</v>
      </c>
    </row>
    <row r="6" spans="1:9" customFormat="1">
      <c r="B6" s="508"/>
    </row>
    <row r="7" spans="1:9" customFormat="1" ht="226.5" customHeight="1">
      <c r="B7" s="509" t="s">
        <v>625</v>
      </c>
      <c r="C7" s="510"/>
    </row>
    <row r="8" spans="1:9" customFormat="1" ht="263.25" customHeight="1">
      <c r="B8" s="509" t="s">
        <v>626</v>
      </c>
    </row>
    <row r="9" spans="1:9" ht="64.5" customHeight="1">
      <c r="B9" s="511" t="str">
        <f>IF('AUSM FGD'!$S$83="N/A","FN11.  N/A",$B$14&amp;$B$15&amp;$B$16&amp;$B$17&amp;$B$18&amp;$B$19&amp;$B$20&amp;$B$21&amp;$B$22&amp;$B$23&amp;$B$24)</f>
        <v>FN11.  N/A</v>
      </c>
      <c r="E9" s="488"/>
      <c r="F9" s="54"/>
    </row>
    <row r="14" spans="1:9">
      <c r="B14" s="54" t="s">
        <v>610</v>
      </c>
      <c r="G14" s="54"/>
      <c r="I14" s="451"/>
    </row>
    <row r="15" spans="1:9">
      <c r="A15" s="53">
        <v>75</v>
      </c>
      <c r="B15" s="488" t="str">
        <f>TEXT(IF('AUSM FGD'!$M$91&lt;0,"N/A",'AUSM FGD'!$M$91),"$* #,##0;$* (#,##0)")</f>
        <v>N/A</v>
      </c>
      <c r="C15" s="453"/>
      <c r="F15" s="453"/>
      <c r="G15" s="54"/>
    </row>
    <row r="16" spans="1:9">
      <c r="B16" s="54" t="s">
        <v>611</v>
      </c>
    </row>
    <row r="17" spans="1:6">
      <c r="A17" s="53">
        <v>68</v>
      </c>
      <c r="B17" s="489" t="str">
        <f>IF(ABS('AUSM FGD'!$S$84)&gt;=1000000,TEXT('AUSM FGD'!$S$84/1000000,"$* #,##0.0;$* (#,##0.0)")&amp;" million",IF(ABS('AUSM FGD'!$S$84)&lt;1000,TEXT('AUSM FGD'!$S$84,"$* #,##0;$* (#,##0)"),TEXT('AUSM FGD'!$S$84/1000,"$* #,##0;$* (#,##0)")&amp;" thousand"))</f>
        <v>$0</v>
      </c>
      <c r="C17" s="489"/>
      <c r="F17" s="489"/>
    </row>
    <row r="18" spans="1:6">
      <c r="B18" s="54" t="s">
        <v>627</v>
      </c>
    </row>
    <row r="19" spans="1:6">
      <c r="A19" s="53">
        <v>69</v>
      </c>
      <c r="B19" s="53" t="e">
        <f>IF(ABS('AUSM FGD'!$S$85)&gt;=1000000,TEXT('AUSM FGD'!$S$85/1000000,"$* #,##0.0;$* (#,##0.0)")&amp;" million",IF(ABS('AUSM FGD'!$S$85)&lt;1000,TEXT('AUSM FGD'!$S$85,"$* #,##0;$* (#,##0)"),TEXT('AUSM FGD'!$S$85/1000,"$* #,##0;$* (#,##0)")&amp;" thousand"))</f>
        <v>#VALUE!</v>
      </c>
    </row>
    <row r="20" spans="1:6">
      <c r="B20" s="54" t="s">
        <v>612</v>
      </c>
    </row>
    <row r="21" spans="1:6">
      <c r="A21" s="53">
        <v>71</v>
      </c>
      <c r="B21" s="53" t="str">
        <f>IF(ABS('AUSM FGD'!$S$87)&gt;=1000000,TEXT('AUSM FGD'!$S$87/1000000,"$* #,##0.0;$* (#,##0.0)")&amp;" million",IF(ABS('AUSM FGD'!$S$87)&lt;1000,TEXT('AUSM FGD'!$S$87,"$* #,##0;$* (#,##0)"),TEXT('AUSM FGD'!$S$87/1000,"$* #,##0;$* (#,##0)")&amp;" thousand"))</f>
        <v>$0</v>
      </c>
    </row>
    <row r="22" spans="1:6">
      <c r="B22" s="54" t="s">
        <v>613</v>
      </c>
    </row>
    <row r="23" spans="1:6">
      <c r="A23" s="53">
        <v>73</v>
      </c>
      <c r="B23" s="53" t="e">
        <f>IF(ABS('AUSM FGD'!$S$89)&gt;=1000000,TEXT('AUSM FGD'!$S$89/1000000,"$* #,##0.0;$* (#,##0.0)")&amp;" million",IF(ABS('AUSM FGD'!$S$89)&lt;1000,TEXT('AUSM FGD'!$S$89,"$* #,##0;$* (#,##0)"),TEXT('AUSM FGD'!$S$89/1000,"$* #,##0;$* (#,##0)")&amp;" thousand"))</f>
        <v>#VALUE!</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78"/>
  <sheetViews>
    <sheetView showGridLines="0" zoomScale="65" zoomScaleNormal="65" workbookViewId="0">
      <selection activeCell="C1" sqref="C1"/>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1316</v>
      </c>
      <c r="C1" s="737" t="s">
        <v>1123</v>
      </c>
    </row>
    <row r="2" spans="1:5" ht="27.75" customHeight="1">
      <c r="A2" s="52" t="str">
        <f>'Smmy Chts'!$A$2</f>
        <v>For the Year Ended August 31, 2018</v>
      </c>
    </row>
    <row r="3" spans="1:5" ht="27" customHeight="1">
      <c r="A3" s="52" t="str">
        <f>'Smmy Chts'!$A$3</f>
        <v>Source: FY 2018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243" t="s">
        <v>25</v>
      </c>
      <c r="D9" s="1243"/>
    </row>
    <row r="10" spans="1:5" ht="12.95" customHeight="1">
      <c r="B10" s="56"/>
      <c r="C10" s="58"/>
      <c r="D10" s="59"/>
    </row>
    <row r="11" spans="1:5" ht="12.95" customHeight="1">
      <c r="B11" s="56"/>
      <c r="C11" s="60" t="str">
        <f>'RGVM Sum'!A9</f>
        <v>State of Texas</v>
      </c>
      <c r="D11" s="61">
        <f>'RGVM Sum'!B15</f>
        <v>29328746</v>
      </c>
      <c r="E11" s="673">
        <f>ROUND(D11/$D$17,3)</f>
        <v>0.34300000000000003</v>
      </c>
    </row>
    <row r="12" spans="1:5" ht="12.95" customHeight="1">
      <c r="B12" s="56"/>
      <c r="C12" s="60" t="str">
        <f>'RGVM Sum'!A17</f>
        <v>Student &amp; Parent</v>
      </c>
      <c r="D12" s="61">
        <f>'RGVM Sum'!B20</f>
        <v>2246511</v>
      </c>
      <c r="E12" s="673">
        <f t="shared" ref="E12:E15" si="0">ROUND(D12/$D$17,3)</f>
        <v>2.5999999999999999E-2</v>
      </c>
    </row>
    <row r="13" spans="1:5" ht="12.95" customHeight="1">
      <c r="B13" s="56"/>
      <c r="C13" s="60" t="str">
        <f>'RGVM Sum'!A22</f>
        <v>Federal Government</v>
      </c>
      <c r="D13" s="61">
        <f>'RGVM Sum'!B23</f>
        <v>4297754</v>
      </c>
      <c r="E13" s="673">
        <f t="shared" si="0"/>
        <v>0.05</v>
      </c>
    </row>
    <row r="14" spans="1:5" ht="12.95" customHeight="1">
      <c r="B14" s="56"/>
      <c r="C14" s="60" t="str">
        <f>'RGVM Sum'!A31</f>
        <v>Institutional Resources</v>
      </c>
      <c r="D14" s="61">
        <f>'RGVM Sum'!B38</f>
        <v>45251058</v>
      </c>
      <c r="E14" s="673">
        <f t="shared" si="0"/>
        <v>0.52900000000000003</v>
      </c>
    </row>
    <row r="15" spans="1:5" ht="12.95" customHeight="1">
      <c r="B15" s="56"/>
      <c r="C15" s="62" t="s">
        <v>58</v>
      </c>
      <c r="D15" s="61">
        <f>'RGVM Sum'!B29+'RGVM Sum'!B26</f>
        <v>4464325</v>
      </c>
      <c r="E15" s="673">
        <f t="shared" si="0"/>
        <v>5.1999999999999998E-2</v>
      </c>
    </row>
    <row r="16" spans="1:5" ht="12.95" customHeight="1">
      <c r="B16" s="56"/>
      <c r="C16" s="58"/>
      <c r="D16" s="59"/>
    </row>
    <row r="17" spans="1:5" ht="12.95" customHeight="1">
      <c r="B17" s="56"/>
      <c r="C17" s="63" t="s">
        <v>71</v>
      </c>
      <c r="D17" s="64">
        <f>SUM(D11:D16)</f>
        <v>85588394</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241" t="str">
        <f>C17&amp;" "&amp;TEXT(D17,"$#,###")</f>
        <v>Total Operating Sources $85,588,394</v>
      </c>
    </row>
    <row r="48" spans="1:1" ht="12.95" customHeight="1">
      <c r="A48" s="1241"/>
    </row>
    <row r="49" spans="1:5" ht="12.95" customHeight="1">
      <c r="A49" s="57"/>
    </row>
    <row r="50" spans="1:5" ht="12.95" customHeight="1">
      <c r="C50" s="915" t="s">
        <v>25</v>
      </c>
      <c r="D50" s="915"/>
    </row>
    <row r="51" spans="1:5" ht="12.95" customHeight="1">
      <c r="C51" s="58"/>
      <c r="D51" s="59"/>
    </row>
    <row r="52" spans="1:5" ht="12.95" customHeight="1">
      <c r="C52" s="55"/>
      <c r="D52" s="55"/>
    </row>
    <row r="53" spans="1:5" ht="15" customHeight="1">
      <c r="C53" s="60" t="s">
        <v>1</v>
      </c>
      <c r="D53" s="61">
        <f>'RGVM Sum'!B10</f>
        <v>26403746</v>
      </c>
      <c r="E53" s="673">
        <f>ROUND(D53/$D$68,3)</f>
        <v>0.308</v>
      </c>
    </row>
    <row r="54" spans="1:5" ht="15" customHeight="1">
      <c r="C54" s="60" t="s">
        <v>76</v>
      </c>
      <c r="D54" s="61">
        <f>'RGVM Sum'!B11</f>
        <v>2925000</v>
      </c>
      <c r="E54" s="673">
        <f t="shared" ref="E54:E67" si="1">ROUND(D54/$D$68,3)</f>
        <v>3.4000000000000002E-2</v>
      </c>
    </row>
    <row r="55" spans="1:5" ht="12.95" customHeight="1">
      <c r="C55" s="907"/>
      <c r="D55" s="61"/>
      <c r="E55" s="673"/>
    </row>
    <row r="56" spans="1:5" ht="16.5" customHeight="1">
      <c r="C56" s="60" t="str">
        <f>'RGVM Sum'!A13</f>
        <v>Higher Education Fund</v>
      </c>
      <c r="D56" s="61">
        <f>'RGVM Sum'!B13</f>
        <v>0</v>
      </c>
      <c r="E56" s="673">
        <f t="shared" si="1"/>
        <v>0</v>
      </c>
    </row>
    <row r="57" spans="1:5" ht="16.5" customHeight="1">
      <c r="C57" s="907" t="s">
        <v>39</v>
      </c>
      <c r="D57" s="61">
        <f>'RGVM Sum'!B14</f>
        <v>0</v>
      </c>
      <c r="E57" s="673">
        <f t="shared" si="1"/>
        <v>0</v>
      </c>
    </row>
    <row r="58" spans="1:5" ht="12.95" customHeight="1">
      <c r="C58" s="60" t="s">
        <v>77</v>
      </c>
      <c r="D58" s="61">
        <f>'RGVM Sum'!B20</f>
        <v>2246511</v>
      </c>
      <c r="E58" s="673">
        <f t="shared" si="1"/>
        <v>2.5999999999999999E-2</v>
      </c>
    </row>
    <row r="59" spans="1:5" ht="12.95" customHeight="1">
      <c r="C59" s="66" t="s">
        <v>78</v>
      </c>
      <c r="D59" s="61">
        <f>'RGVM Sum'!B23</f>
        <v>4297754</v>
      </c>
      <c r="E59" s="673">
        <f t="shared" si="1"/>
        <v>0.05</v>
      </c>
    </row>
    <row r="60" spans="1:5" ht="12.95" customHeight="1">
      <c r="C60" s="60" t="s">
        <v>79</v>
      </c>
      <c r="D60" s="61">
        <f>'RGVM Sum'!B32</f>
        <v>1385207</v>
      </c>
      <c r="E60" s="673">
        <f t="shared" si="1"/>
        <v>1.6E-2</v>
      </c>
    </row>
    <row r="61" spans="1:5" ht="12.95" customHeight="1">
      <c r="C61" s="60" t="s">
        <v>198</v>
      </c>
      <c r="D61" s="61">
        <f>'RGVM Sum'!B33</f>
        <v>26928876</v>
      </c>
      <c r="E61" s="673">
        <f t="shared" si="1"/>
        <v>0.315</v>
      </c>
    </row>
    <row r="62" spans="1:5" ht="12.95" customHeight="1">
      <c r="C62" s="60" t="s">
        <v>80</v>
      </c>
      <c r="D62" s="61">
        <f>'RGVM Sum'!B34</f>
        <v>4147194</v>
      </c>
      <c r="E62" s="673">
        <f t="shared" si="1"/>
        <v>4.8000000000000001E-2</v>
      </c>
    </row>
    <row r="63" spans="1:5" ht="12.95" customHeight="1">
      <c r="C63" s="60" t="s">
        <v>81</v>
      </c>
      <c r="D63" s="61">
        <f>'RGVM Sum'!B35</f>
        <v>253193</v>
      </c>
      <c r="E63" s="673">
        <f t="shared" si="1"/>
        <v>3.0000000000000001E-3</v>
      </c>
    </row>
    <row r="64" spans="1:5" ht="12.95" customHeight="1">
      <c r="C64" s="60" t="s">
        <v>12</v>
      </c>
      <c r="D64" s="61">
        <f>'RGVM Sum'!B36</f>
        <v>0</v>
      </c>
      <c r="E64" s="673">
        <f t="shared" si="1"/>
        <v>0</v>
      </c>
    </row>
    <row r="65" spans="1:5" ht="12.95" customHeight="1">
      <c r="C65" s="66" t="s">
        <v>48</v>
      </c>
      <c r="D65" s="61">
        <f>'RGVM Sum'!B37</f>
        <v>12536588</v>
      </c>
      <c r="E65" s="673">
        <f t="shared" si="1"/>
        <v>0.14599999999999999</v>
      </c>
    </row>
    <row r="66" spans="1:5" ht="12.95" customHeight="1">
      <c r="C66" s="66" t="s">
        <v>57</v>
      </c>
      <c r="D66" s="61">
        <f>'RGVM Sum'!B26</f>
        <v>4464325</v>
      </c>
      <c r="E66" s="673">
        <f t="shared" si="1"/>
        <v>5.1999999999999998E-2</v>
      </c>
    </row>
    <row r="67" spans="1:5" ht="12.95" customHeight="1">
      <c r="C67" s="912" t="s">
        <v>58</v>
      </c>
      <c r="D67" s="61">
        <f>'RGVM Sum'!B29</f>
        <v>0</v>
      </c>
      <c r="E67" s="673">
        <f t="shared" si="1"/>
        <v>0</v>
      </c>
    </row>
    <row r="68" spans="1:5" ht="12.95" customHeight="1">
      <c r="C68" s="63" t="s">
        <v>71</v>
      </c>
      <c r="D68" s="64">
        <f>SUM(D53:D67)</f>
        <v>85588394</v>
      </c>
      <c r="E68" s="674">
        <f>SUM(E53:E67)</f>
        <v>0.99800000000000011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241" t="str">
        <f>C68&amp;" "&amp;TEXT(D68,"$#,###")</f>
        <v>Total Operating Sources $85,588,394</v>
      </c>
    </row>
    <row r="93" spans="1:1" ht="12.95" customHeight="1">
      <c r="A93" s="1241"/>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242" t="s">
        <v>13</v>
      </c>
      <c r="D100" s="1242"/>
    </row>
    <row r="101" spans="1:5" ht="12.95" customHeight="1">
      <c r="C101" s="1242"/>
      <c r="D101" s="1242"/>
    </row>
    <row r="102" spans="1:5" ht="12.95" customHeight="1">
      <c r="C102" s="68" t="s">
        <v>14</v>
      </c>
      <c r="D102" s="61">
        <f>'RGVM Sum'!B42</f>
        <v>17726948</v>
      </c>
      <c r="E102" s="673">
        <f>ROUND(D102/$D$115,3)</f>
        <v>0.22500000000000001</v>
      </c>
    </row>
    <row r="103" spans="1:5" ht="12.95" customHeight="1">
      <c r="C103" s="68" t="s">
        <v>15</v>
      </c>
      <c r="D103" s="61">
        <f>'RGVM Sum'!B43</f>
        <v>9759351</v>
      </c>
      <c r="E103" s="673">
        <f t="shared" ref="E103:E113" si="2">ROUND(D103/$D$115,3)</f>
        <v>0.124</v>
      </c>
    </row>
    <row r="104" spans="1:5" ht="12.95" customHeight="1">
      <c r="C104" s="68" t="s">
        <v>16</v>
      </c>
      <c r="D104" s="61">
        <f>'RGVM Sum'!B44</f>
        <v>2783024</v>
      </c>
      <c r="E104" s="673">
        <f t="shared" si="2"/>
        <v>3.5000000000000003E-2</v>
      </c>
    </row>
    <row r="105" spans="1:5" ht="12.95" customHeight="1">
      <c r="C105" s="68" t="s">
        <v>17</v>
      </c>
      <c r="D105" s="61">
        <f>'RGVM Sum'!B46</f>
        <v>10029460</v>
      </c>
      <c r="E105" s="673">
        <f t="shared" si="2"/>
        <v>0.127</v>
      </c>
    </row>
    <row r="106" spans="1:5" ht="12.95" customHeight="1">
      <c r="C106" s="68" t="s">
        <v>18</v>
      </c>
      <c r="D106" s="61">
        <f>'RGVM Sum'!B47</f>
        <v>2074264</v>
      </c>
      <c r="E106" s="673">
        <f t="shared" si="2"/>
        <v>2.5999999999999999E-2</v>
      </c>
    </row>
    <row r="107" spans="1:5" ht="12.95" customHeight="1">
      <c r="C107" s="68" t="s">
        <v>19</v>
      </c>
      <c r="D107" s="61">
        <f>'RGVM Sum'!B48</f>
        <v>4471475</v>
      </c>
      <c r="E107" s="673">
        <f t="shared" si="2"/>
        <v>5.7000000000000002E-2</v>
      </c>
    </row>
    <row r="108" spans="1:5" ht="12.95" customHeight="1">
      <c r="C108" s="68" t="s">
        <v>82</v>
      </c>
      <c r="D108" s="61">
        <f>'RGVM Sum'!B49</f>
        <v>4098636</v>
      </c>
      <c r="E108" s="673">
        <f t="shared" si="2"/>
        <v>5.1999999999999998E-2</v>
      </c>
    </row>
    <row r="109" spans="1:5" ht="12.95" customHeight="1">
      <c r="C109" s="68" t="s">
        <v>83</v>
      </c>
      <c r="D109" s="61">
        <f>'RGVM Sum'!B50</f>
        <v>1046996</v>
      </c>
      <c r="E109" s="673">
        <f t="shared" si="2"/>
        <v>1.2999999999999999E-2</v>
      </c>
    </row>
    <row r="110" spans="1:5" ht="12.95" customHeight="1">
      <c r="C110" s="68" t="s">
        <v>22</v>
      </c>
      <c r="D110" s="61">
        <f>'RGVM Sum'!B51</f>
        <v>0</v>
      </c>
      <c r="E110" s="673">
        <f t="shared" si="2"/>
        <v>0</v>
      </c>
    </row>
    <row r="111" spans="1:5" ht="12.95" customHeight="1">
      <c r="C111" s="68" t="s">
        <v>27</v>
      </c>
      <c r="D111" s="61">
        <f>'RGVM Sum'!B52</f>
        <v>552580</v>
      </c>
      <c r="E111" s="673">
        <f t="shared" si="2"/>
        <v>7.0000000000000001E-3</v>
      </c>
    </row>
    <row r="112" spans="1:5" ht="12.95" customHeight="1">
      <c r="C112" s="66" t="s">
        <v>49</v>
      </c>
      <c r="D112" s="61">
        <f>'RGVM Sum'!B53</f>
        <v>0</v>
      </c>
      <c r="E112" s="673">
        <f t="shared" si="2"/>
        <v>0</v>
      </c>
    </row>
    <row r="113" spans="3:5" ht="12.95" customHeight="1">
      <c r="C113" s="62" t="s">
        <v>84</v>
      </c>
      <c r="D113" s="61">
        <f>'RGVM Sum'!B45</f>
        <v>26329257</v>
      </c>
      <c r="E113" s="673">
        <f t="shared" si="2"/>
        <v>0.33400000000000002</v>
      </c>
    </row>
    <row r="114" spans="3:5" ht="12.95" customHeight="1">
      <c r="C114" s="58"/>
      <c r="D114" s="58"/>
      <c r="E114" s="674"/>
    </row>
    <row r="115" spans="3:5" ht="12.95" customHeight="1">
      <c r="C115" s="70" t="s">
        <v>72</v>
      </c>
      <c r="D115" s="64">
        <f>SUM(D102:D114)</f>
        <v>78871991</v>
      </c>
      <c r="E115" s="674">
        <f>SUM(E102:E113)</f>
        <v>1.0000000000000002</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241" t="str">
        <f>C115&amp;" "&amp;TEXT(D115,"$#,###")</f>
        <v>Total Operating Uses $78,871,991</v>
      </c>
    </row>
    <row r="137" spans="1:1" ht="12.95" customHeight="1">
      <c r="A137" s="1241"/>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hyperlinks>
  <printOptions horizontalCentered="1"/>
  <pageMargins left="0.5" right="0.5" top="0.25" bottom="0.25" header="0.25" footer="0.25"/>
  <pageSetup scale="41"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200"/>
  <sheetViews>
    <sheetView showGridLines="0" zoomScale="85" zoomScaleNormal="85" workbookViewId="0">
      <pane xSplit="2" ySplit="6" topLeftCell="C32" activePane="bottomRight" state="frozen"/>
      <selection activeCell="C36" sqref="C36"/>
      <selection pane="topRight" activeCell="C36" sqref="C36"/>
      <selection pane="bottomLeft" activeCell="C36" sqref="C36"/>
      <selection pane="bottomRight" activeCell="D1" sqref="D1"/>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'RGVM Chts'!$A$1</f>
        <v>The University of Texas Rio Grande Valley Medical School (M)</v>
      </c>
      <c r="B1" s="73"/>
      <c r="C1" s="1"/>
      <c r="D1" s="737" t="s">
        <v>1123</v>
      </c>
      <c r="E1"/>
      <c r="F1" s="1249" t="s">
        <v>1158</v>
      </c>
      <c r="G1" s="1250"/>
      <c r="H1" s="1250"/>
      <c r="I1" s="1251"/>
      <c r="J1" s="1244"/>
      <c r="K1" s="1245"/>
      <c r="L1" s="1245"/>
      <c r="M1" s="1245"/>
      <c r="N1" s="1245"/>
      <c r="O1" s="1246"/>
    </row>
    <row r="2" spans="1:15" ht="16.5" thickTop="1">
      <c r="A2" s="75" t="str">
        <f>'Smmy Chts'!$A$2</f>
        <v>For the Year Ended August 31, 2018</v>
      </c>
      <c r="B2" s="73"/>
      <c r="C2" s="1"/>
      <c r="D2" s="565"/>
      <c r="E2" s="565"/>
      <c r="F2" s="565"/>
      <c r="G2" s="51">
        <f>VLOOKUP(A1,NamesLU,2,FALSE)</f>
        <v>203599</v>
      </c>
      <c r="J2" s="565"/>
      <c r="K2" s="565"/>
      <c r="L2" s="565"/>
      <c r="M2" s="565"/>
      <c r="O2" s="51"/>
    </row>
    <row r="3" spans="1:15" ht="15.75" customHeight="1">
      <c r="A3" s="75" t="str">
        <f>'Smmy Chts'!$A$3</f>
        <v>Source: FY 2018 Annual Financial Report</v>
      </c>
      <c r="B3" s="73"/>
      <c r="C3" s="1"/>
      <c r="O3" s="51"/>
    </row>
    <row r="4" spans="1:15" ht="13.5" customHeight="1">
      <c r="B4" s="76"/>
      <c r="C4" s="4"/>
      <c r="D4" s="1270" t="s">
        <v>1081</v>
      </c>
      <c r="E4" s="1247" t="s">
        <v>1279</v>
      </c>
      <c r="F4" s="296"/>
      <c r="O4" s="51"/>
    </row>
    <row r="5" spans="1:15" ht="18">
      <c r="A5" s="41" t="str">
        <f>'Smmy Chts'!$C$35</f>
        <v>Summary Worksheet FY 2018</v>
      </c>
      <c r="B5" s="77" t="s">
        <v>90</v>
      </c>
      <c r="C5" s="77" t="s">
        <v>136</v>
      </c>
      <c r="D5" s="1271"/>
      <c r="E5" s="1248"/>
      <c r="F5" s="296"/>
      <c r="G5" s="680" t="s">
        <v>1112</v>
      </c>
      <c r="I5" s="681" t="s">
        <v>1393</v>
      </c>
      <c r="J5" s="682" t="s">
        <v>136</v>
      </c>
      <c r="O5" s="51"/>
    </row>
    <row r="6" spans="1:15" ht="13.5" customHeight="1">
      <c r="A6" s="78" t="s">
        <v>175</v>
      </c>
      <c r="B6" s="79"/>
      <c r="C6" s="43">
        <f>VLOOKUP($G$2,FTSELU,10,FALSE)</f>
        <v>101</v>
      </c>
      <c r="J6" s="643"/>
      <c r="O6" s="51"/>
    </row>
    <row r="7" spans="1:15">
      <c r="B7" s="79"/>
      <c r="C7" s="5"/>
      <c r="I7" s="683" t="s">
        <v>1114</v>
      </c>
      <c r="J7" s="684"/>
      <c r="O7" s="51"/>
    </row>
    <row r="8" spans="1:15">
      <c r="A8" s="81" t="s">
        <v>74</v>
      </c>
      <c r="B8" s="81"/>
      <c r="C8" s="15"/>
      <c r="I8" s="685">
        <f>VLOOKUP($G$2,FTSELU,11,FALSE)</f>
        <v>86.15</v>
      </c>
      <c r="J8" s="643"/>
      <c r="O8" s="51"/>
    </row>
    <row r="9" spans="1:15" ht="12.75" customHeight="1" thickBot="1">
      <c r="A9" s="78" t="s">
        <v>0</v>
      </c>
      <c r="B9" s="82"/>
      <c r="C9" s="8"/>
      <c r="J9" s="643"/>
      <c r="O9" s="51"/>
    </row>
    <row r="10" spans="1:15" ht="12.75" customHeight="1" thickTop="1">
      <c r="A10" s="74" t="s">
        <v>1108</v>
      </c>
      <c r="B10" s="83">
        <f>'RGVM FGD'!M10</f>
        <v>26403746</v>
      </c>
      <c r="C10" s="83"/>
      <c r="D10" s="143">
        <f>'RGVM FGD'!F10</f>
        <v>0</v>
      </c>
      <c r="E10" s="143"/>
      <c r="F10" s="84">
        <f>B10-(SUM(D10:E10))</f>
        <v>26403746</v>
      </c>
      <c r="G10" s="980" t="s">
        <v>1</v>
      </c>
      <c r="H10" s="981"/>
      <c r="I10" s="686" t="s">
        <v>1115</v>
      </c>
      <c r="J10" s="644">
        <f>ROUND(F10/$C$6,0)</f>
        <v>261423</v>
      </c>
      <c r="O10" s="51"/>
    </row>
    <row r="11" spans="1:15" ht="12.75" customHeight="1" thickBot="1">
      <c r="A11" s="74" t="s">
        <v>2</v>
      </c>
      <c r="B11" s="86">
        <f>'RGVM FGD'!M11</f>
        <v>2925000</v>
      </c>
      <c r="C11" s="86"/>
      <c r="D11" s="284">
        <f>'RGVM FGD'!F11</f>
        <v>0</v>
      </c>
      <c r="E11" s="73"/>
      <c r="F11" s="566">
        <f t="shared" ref="F11:F14" si="0">B11-(SUM(D11:E11))</f>
        <v>2925000</v>
      </c>
      <c r="G11" s="987">
        <f>SUM(F10:F11)</f>
        <v>29328746</v>
      </c>
      <c r="H11" s="777"/>
      <c r="I11" s="791">
        <f>ROUND($G$11/$C$6,0)</f>
        <v>290384</v>
      </c>
      <c r="J11" s="645">
        <f t="shared" ref="J11:J14" si="1">ROUND(F11/$C$6,0)</f>
        <v>28960</v>
      </c>
      <c r="O11" s="51"/>
    </row>
    <row r="12" spans="1:15" ht="12.75" hidden="1" customHeight="1" thickTop="1" thickBot="1">
      <c r="A12" s="74" t="s">
        <v>1345</v>
      </c>
      <c r="B12" s="86"/>
      <c r="C12" s="86"/>
      <c r="D12" s="284"/>
      <c r="E12" s="73"/>
      <c r="F12" s="567"/>
      <c r="J12" s="645"/>
      <c r="O12" s="568"/>
    </row>
    <row r="13" spans="1:15" ht="12.75" customHeight="1" thickTop="1">
      <c r="A13" s="74" t="s">
        <v>1298</v>
      </c>
      <c r="B13" s="86">
        <f>'RGVM FGD'!M13</f>
        <v>0</v>
      </c>
      <c r="C13" s="86"/>
      <c r="D13" s="284">
        <f>'RGVM FGD'!F13</f>
        <v>0</v>
      </c>
      <c r="E13" s="73"/>
      <c r="F13" s="786">
        <f t="shared" si="0"/>
        <v>0</v>
      </c>
      <c r="G13" s="780" t="s">
        <v>86</v>
      </c>
      <c r="H13" s="787"/>
      <c r="I13" s="731" t="s">
        <v>1116</v>
      </c>
      <c r="J13" s="645">
        <f t="shared" si="1"/>
        <v>0</v>
      </c>
      <c r="O13" s="51"/>
    </row>
    <row r="14" spans="1:15" ht="12.75" customHeight="1" thickBot="1">
      <c r="A14" s="74" t="s">
        <v>46</v>
      </c>
      <c r="B14" s="86">
        <f>'RGVM FGD'!M14</f>
        <v>0</v>
      </c>
      <c r="C14" s="86"/>
      <c r="D14" s="284">
        <f>'RGVM FGD'!F14</f>
        <v>0</v>
      </c>
      <c r="E14" s="73"/>
      <c r="F14" s="567">
        <f t="shared" si="0"/>
        <v>0</v>
      </c>
      <c r="G14" s="687">
        <f>SUM(F13:F14)</f>
        <v>0</v>
      </c>
      <c r="H14" s="788"/>
      <c r="I14" s="792">
        <f>ROUND($G$11/$I$8,0)</f>
        <v>340438</v>
      </c>
      <c r="J14" s="689">
        <f t="shared" si="1"/>
        <v>0</v>
      </c>
      <c r="O14" s="51"/>
    </row>
    <row r="15" spans="1:15" ht="12.75" customHeight="1" thickTop="1">
      <c r="A15" s="87" t="s">
        <v>3</v>
      </c>
      <c r="B15" s="88">
        <f>SUM(B10:B14)</f>
        <v>29328746</v>
      </c>
      <c r="C15" s="88">
        <f>SUM(C10:C14)</f>
        <v>0</v>
      </c>
      <c r="D15" s="88">
        <f>SUM(D10:D14)</f>
        <v>0</v>
      </c>
      <c r="E15" s="88">
        <f>SUM(E10:E14)</f>
        <v>0</v>
      </c>
      <c r="F15" s="646">
        <f>SUM(F10:F14)</f>
        <v>29328746</v>
      </c>
      <c r="I15" s="916"/>
      <c r="J15" s="669">
        <f>SUM(J10:J14)</f>
        <v>290383</v>
      </c>
      <c r="O15" s="51"/>
    </row>
    <row r="16" spans="1:15">
      <c r="C16" s="74"/>
      <c r="J16" s="643"/>
      <c r="O16" s="51"/>
    </row>
    <row r="17" spans="1:15" ht="12.75" customHeight="1">
      <c r="A17" s="78" t="s">
        <v>4</v>
      </c>
      <c r="C17" s="74"/>
      <c r="J17" s="643"/>
      <c r="O17" s="51"/>
    </row>
    <row r="18" spans="1:15">
      <c r="A18" s="74" t="s">
        <v>37</v>
      </c>
      <c r="B18" s="83">
        <f>'RGVM FGD'!M29</f>
        <v>1792870</v>
      </c>
      <c r="C18" s="83"/>
      <c r="D18" s="143">
        <f>'RGVM FGD'!$F$29</f>
        <v>0</v>
      </c>
      <c r="E18" s="143"/>
      <c r="F18" s="143">
        <f t="shared" ref="F18:F19" si="2">B18-(SUM(D18:E18))</f>
        <v>1792870</v>
      </c>
      <c r="G18" s="351"/>
      <c r="H18" s="351"/>
      <c r="I18" s="351"/>
      <c r="J18" s="644">
        <f>ROUND(F18/$C$6,0)</f>
        <v>17751</v>
      </c>
      <c r="O18" s="51"/>
    </row>
    <row r="19" spans="1:15" ht="13.5" thickBot="1">
      <c r="A19" s="74" t="s">
        <v>38</v>
      </c>
      <c r="B19" s="86">
        <f>'RGVM FGD'!M42</f>
        <v>453641</v>
      </c>
      <c r="C19" s="86"/>
      <c r="D19" s="73">
        <f>'RGVM FGD'!$F$42</f>
        <v>99537</v>
      </c>
      <c r="E19" s="73"/>
      <c r="F19" s="73">
        <f t="shared" si="2"/>
        <v>354104</v>
      </c>
      <c r="G19" s="351"/>
      <c r="H19" s="351"/>
      <c r="I19" s="351"/>
      <c r="J19" s="645">
        <f>ROUND(F19/$C$6,0)</f>
        <v>3506</v>
      </c>
      <c r="O19" s="51"/>
    </row>
    <row r="20" spans="1:15" ht="14.25" thickTop="1" thickBot="1">
      <c r="A20" s="87" t="s">
        <v>5</v>
      </c>
      <c r="B20" s="88">
        <f>SUM(B18:B19)</f>
        <v>2246511</v>
      </c>
      <c r="C20" s="88">
        <f>SUM(C18:C19)</f>
        <v>0</v>
      </c>
      <c r="D20" s="647">
        <f>SUM(D18:D19)</f>
        <v>99537</v>
      </c>
      <c r="E20" s="648">
        <f>SUM(E18:E19)</f>
        <v>0</v>
      </c>
      <c r="F20" s="690">
        <f>SUM(F18:F19)</f>
        <v>2146974</v>
      </c>
      <c r="G20" s="650" t="s">
        <v>87</v>
      </c>
      <c r="H20" s="569"/>
      <c r="I20" s="570"/>
      <c r="J20" s="651">
        <f>SUM(J18:J19)</f>
        <v>21257</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'RGVM FGD'!M47</f>
        <v>4297754</v>
      </c>
      <c r="C23" s="88"/>
      <c r="D23" s="647">
        <f>'RGVM FGD'!F47</f>
        <v>0</v>
      </c>
      <c r="E23" s="648"/>
      <c r="F23" s="690">
        <f>B23-(SUM(D23:E23))</f>
        <v>4297754</v>
      </c>
      <c r="G23" s="652" t="s">
        <v>1162</v>
      </c>
      <c r="H23" s="569"/>
      <c r="I23" s="570"/>
      <c r="J23" s="668">
        <f>ROUND(F23/$C$6,0)</f>
        <v>42552</v>
      </c>
      <c r="O23" s="51"/>
    </row>
    <row r="24" spans="1:15" ht="13.5" thickTop="1">
      <c r="C24" s="74"/>
      <c r="J24" s="643"/>
      <c r="O24" s="51"/>
    </row>
    <row r="25" spans="1:15">
      <c r="A25" s="78" t="s">
        <v>57</v>
      </c>
      <c r="C25" s="74"/>
      <c r="D25" s="73"/>
      <c r="H25" s="351"/>
      <c r="J25" s="643"/>
      <c r="O25" s="51"/>
    </row>
    <row r="26" spans="1:15">
      <c r="A26" s="87" t="s">
        <v>56</v>
      </c>
      <c r="B26" s="88">
        <f>'RGVM FGD'!M50</f>
        <v>4464325</v>
      </c>
      <c r="C26" s="88"/>
      <c r="D26" s="88">
        <f>'RGVM FGD'!F50</f>
        <v>0</v>
      </c>
      <c r="E26" s="88">
        <f>B26-D26</f>
        <v>4464325</v>
      </c>
      <c r="F26" s="88">
        <f t="shared" ref="F26" si="3">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'RGVM FGD'!M53</f>
        <v>0</v>
      </c>
      <c r="C29" s="88"/>
      <c r="D29" s="88">
        <f>'RGVM FGD'!F53</f>
        <v>0</v>
      </c>
      <c r="E29" s="88">
        <f>B29-D29</f>
        <v>0</v>
      </c>
      <c r="F29" s="88">
        <f t="shared" ref="F29" si="4">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'RGVM FGD'!M56</f>
        <v>1385207</v>
      </c>
      <c r="C32" s="83"/>
      <c r="D32" s="143">
        <f>'RGVM FGD'!F56</f>
        <v>0</v>
      </c>
      <c r="E32" s="143"/>
      <c r="F32" s="143">
        <f t="shared" ref="F32:F37" si="5">B32-(SUM(D32:E32))</f>
        <v>1385207</v>
      </c>
      <c r="G32" s="351"/>
      <c r="H32" s="351"/>
      <c r="I32" s="351"/>
      <c r="J32" s="644">
        <f>ROUND(F32/$C$6,0)</f>
        <v>13715</v>
      </c>
      <c r="O32" s="51"/>
    </row>
    <row r="33" spans="1:30">
      <c r="A33" s="74" t="s">
        <v>9</v>
      </c>
      <c r="B33" s="86">
        <f>'RGVM FGD'!M57</f>
        <v>26928876</v>
      </c>
      <c r="C33" s="86"/>
      <c r="D33" s="284">
        <f>'RGVM FGD'!F57</f>
        <v>0</v>
      </c>
      <c r="E33" s="73"/>
      <c r="F33" s="73">
        <f t="shared" si="5"/>
        <v>26928876</v>
      </c>
      <c r="G33" s="351"/>
      <c r="H33" s="351"/>
      <c r="I33" s="351"/>
      <c r="J33" s="645">
        <f t="shared" ref="J33:J37" si="6">ROUND(F33/$C$6,0)</f>
        <v>266623</v>
      </c>
      <c r="O33" s="51"/>
    </row>
    <row r="34" spans="1:30" ht="13.5" thickBot="1">
      <c r="A34" s="74" t="s">
        <v>10</v>
      </c>
      <c r="B34" s="86">
        <f>'RGVM FGD'!M58</f>
        <v>4147194</v>
      </c>
      <c r="C34" s="86"/>
      <c r="D34" s="284">
        <f>'RGVM FGD'!F58</f>
        <v>0</v>
      </c>
      <c r="E34" s="73"/>
      <c r="F34" s="73">
        <f t="shared" si="5"/>
        <v>4147194</v>
      </c>
      <c r="G34" s="351"/>
      <c r="H34" s="351"/>
      <c r="I34" s="351"/>
      <c r="J34" s="645">
        <f t="shared" si="6"/>
        <v>41061</v>
      </c>
      <c r="O34" s="51"/>
    </row>
    <row r="35" spans="1:30" ht="13.5" thickBot="1">
      <c r="A35" s="74" t="s">
        <v>11</v>
      </c>
      <c r="B35" s="86">
        <f>'RGVM FGD'!M59</f>
        <v>253193</v>
      </c>
      <c r="C35" s="86"/>
      <c r="D35" s="284">
        <f>'RGVM FGD'!F59</f>
        <v>0</v>
      </c>
      <c r="E35" s="73"/>
      <c r="F35" s="73">
        <f t="shared" si="5"/>
        <v>253193</v>
      </c>
      <c r="G35" s="351"/>
      <c r="H35" s="351"/>
      <c r="I35" s="351"/>
      <c r="J35" s="645">
        <f t="shared" si="6"/>
        <v>2507</v>
      </c>
      <c r="K35" s="1262"/>
      <c r="L35" s="1245"/>
      <c r="M35" s="1245"/>
      <c r="N35" s="1245"/>
      <c r="O35" s="1246"/>
    </row>
    <row r="36" spans="1:30" ht="13.5" thickBot="1">
      <c r="A36" s="92" t="s">
        <v>1362</v>
      </c>
      <c r="B36" s="86">
        <f>'RGVM FGD'!M60</f>
        <v>0</v>
      </c>
      <c r="C36" s="86"/>
      <c r="D36" s="284">
        <f>'RGVM FGD'!F60</f>
        <v>0</v>
      </c>
      <c r="E36" s="73"/>
      <c r="F36" s="73">
        <f t="shared" si="5"/>
        <v>0</v>
      </c>
      <c r="G36" s="351"/>
      <c r="H36" s="351"/>
      <c r="I36" s="351"/>
      <c r="J36" s="645">
        <f t="shared" si="6"/>
        <v>0</v>
      </c>
      <c r="K36" s="1262" t="s">
        <v>1017</v>
      </c>
      <c r="L36" s="1245"/>
      <c r="M36" s="1245"/>
      <c r="N36" s="1245"/>
      <c r="O36" s="1246"/>
    </row>
    <row r="37" spans="1:30" ht="13.5" customHeight="1" thickBot="1">
      <c r="A37" s="93" t="s">
        <v>41</v>
      </c>
      <c r="B37" s="86">
        <f>'RGVM FGD'!M61</f>
        <v>12536588</v>
      </c>
      <c r="C37" s="86"/>
      <c r="D37" s="284">
        <f>'RGVM FGD'!F61</f>
        <v>0</v>
      </c>
      <c r="E37" s="73"/>
      <c r="F37" s="73">
        <f t="shared" si="5"/>
        <v>12536588</v>
      </c>
      <c r="G37" s="24"/>
      <c r="H37" s="24"/>
      <c r="I37" s="577"/>
      <c r="J37" s="645">
        <f t="shared" si="6"/>
        <v>124125</v>
      </c>
      <c r="K37" s="1263" t="s">
        <v>1020</v>
      </c>
      <c r="L37" s="1263" t="s">
        <v>1018</v>
      </c>
      <c r="M37" s="1263" t="s">
        <v>1019</v>
      </c>
      <c r="N37" s="1263" t="s">
        <v>1278</v>
      </c>
      <c r="O37" s="1263" t="s">
        <v>1022</v>
      </c>
      <c r="P37" s="89"/>
      <c r="Q37" s="89"/>
      <c r="R37" s="89"/>
      <c r="S37" s="89"/>
      <c r="T37" s="89"/>
      <c r="U37" s="89"/>
      <c r="V37" s="89"/>
      <c r="W37" s="89"/>
      <c r="X37" s="89"/>
      <c r="Y37" s="89"/>
      <c r="Z37" s="89"/>
      <c r="AA37" s="89"/>
      <c r="AB37" s="89"/>
      <c r="AC37" s="89"/>
      <c r="AD37" s="89"/>
    </row>
    <row r="38" spans="1:30" ht="14.25" customHeight="1" thickTop="1" thickBot="1">
      <c r="A38" s="87" t="s">
        <v>3</v>
      </c>
      <c r="B38" s="88">
        <f>SUM(B32:B37)</f>
        <v>45251058</v>
      </c>
      <c r="C38" s="88"/>
      <c r="D38" s="291">
        <f>SUM(D32:D37)</f>
        <v>0</v>
      </c>
      <c r="E38" s="291">
        <f>SUM(E32:E37)</f>
        <v>0</v>
      </c>
      <c r="F38" s="692">
        <f>SUM(F32:F37)</f>
        <v>45251058</v>
      </c>
      <c r="G38" s="1259" t="s">
        <v>8</v>
      </c>
      <c r="H38" s="1260"/>
      <c r="I38" s="693" t="s">
        <v>1118</v>
      </c>
      <c r="J38" s="653">
        <f>SUM(J32:J37)</f>
        <v>448031</v>
      </c>
      <c r="K38" s="1264"/>
      <c r="L38" s="1264"/>
      <c r="M38" s="1264"/>
      <c r="N38" s="1264" t="s">
        <v>1021</v>
      </c>
      <c r="O38" s="1264" t="s">
        <v>1022</v>
      </c>
    </row>
    <row r="39" spans="1:30" ht="13.5" thickTop="1">
      <c r="A39" s="94" t="s">
        <v>71</v>
      </c>
      <c r="B39" s="47">
        <f>B15+B20+B23+B26+B29+B38</f>
        <v>85588394</v>
      </c>
      <c r="C39" s="139"/>
      <c r="D39" s="47">
        <f>D15+D20+D23+D26+D29+D38</f>
        <v>99537</v>
      </c>
      <c r="E39" s="47">
        <f>E15+E20+E23+E26+E29+E38</f>
        <v>4464325</v>
      </c>
      <c r="F39" s="778">
        <f>F38+F23+F20+F15</f>
        <v>81024532</v>
      </c>
      <c r="G39" s="1261" t="s">
        <v>89</v>
      </c>
      <c r="H39" s="1261"/>
      <c r="I39" s="793">
        <f>ROUND($G$41/$C$6,0)</f>
        <v>802223</v>
      </c>
      <c r="J39" s="654">
        <f>J15+J20+J23+J38</f>
        <v>802223</v>
      </c>
      <c r="K39" s="1264"/>
      <c r="L39" s="1264"/>
      <c r="M39" s="1264"/>
      <c r="N39" s="1264"/>
      <c r="O39" s="1264"/>
    </row>
    <row r="40" spans="1:30" ht="13.5" thickBot="1">
      <c r="C40" s="74"/>
      <c r="D40" s="351"/>
      <c r="E40" s="351"/>
      <c r="F40" s="351" t="s">
        <v>1163</v>
      </c>
      <c r="G40" s="779">
        <f>G14*-1</f>
        <v>0</v>
      </c>
      <c r="H40" s="351"/>
      <c r="I40" s="693" t="s">
        <v>1120</v>
      </c>
      <c r="J40" s="655"/>
      <c r="K40" s="1265"/>
      <c r="L40" s="1265"/>
      <c r="M40" s="1265"/>
      <c r="N40" s="1265"/>
      <c r="O40" s="1265"/>
    </row>
    <row r="41" spans="1:30" ht="14.25" thickTop="1" thickBot="1">
      <c r="A41" s="81" t="s">
        <v>75</v>
      </c>
      <c r="B41" s="81"/>
      <c r="C41" s="81"/>
      <c r="D41" s="656"/>
      <c r="E41" s="656"/>
      <c r="F41" s="694" t="s">
        <v>1119</v>
      </c>
      <c r="G41" s="695">
        <f>F39+G40</f>
        <v>81024532</v>
      </c>
      <c r="I41" s="1046">
        <f>ROUND($G$41/$I$8,0)</f>
        <v>940505</v>
      </c>
      <c r="K41" s="571"/>
      <c r="L41" s="571"/>
      <c r="M41" s="571"/>
      <c r="N41" s="571"/>
      <c r="O41" s="571"/>
    </row>
    <row r="42" spans="1:30" ht="13.5" thickTop="1">
      <c r="A42" s="95" t="s">
        <v>14</v>
      </c>
      <c r="B42" s="83">
        <f>'RGVM FGD'!M65</f>
        <v>17726948</v>
      </c>
      <c r="C42" s="83"/>
      <c r="D42" s="143">
        <f>'RGVM FGD'!F65</f>
        <v>0</v>
      </c>
      <c r="E42" s="143"/>
      <c r="F42" s="143">
        <f t="shared" ref="F42" si="7">B42-(SUM(D42:E42))</f>
        <v>17726948</v>
      </c>
      <c r="G42" s="351"/>
      <c r="H42" s="1048" t="s">
        <v>1394</v>
      </c>
      <c r="I42" s="1047">
        <f>ROUND(F42/$C$6,0)</f>
        <v>175514</v>
      </c>
      <c r="J42" s="351" t="s">
        <v>669</v>
      </c>
      <c r="K42" s="143">
        <f>F42</f>
        <v>17726948</v>
      </c>
      <c r="L42" s="143">
        <f>K42</f>
        <v>17726948</v>
      </c>
      <c r="M42" s="143"/>
      <c r="N42" s="143"/>
      <c r="O42" s="143"/>
    </row>
    <row r="43" spans="1:30">
      <c r="A43" s="95" t="s">
        <v>15</v>
      </c>
      <c r="B43" s="86">
        <f>'RGVM FGD'!M66</f>
        <v>9759351</v>
      </c>
      <c r="C43" s="86"/>
      <c r="D43" s="357">
        <f>'RGVM FGD'!F66</f>
        <v>0</v>
      </c>
      <c r="E43" s="73"/>
      <c r="F43" s="73">
        <f t="shared" ref="F43:F44" si="8">B43-(SUM(D43:E43))</f>
        <v>9759351</v>
      </c>
      <c r="G43" s="351"/>
      <c r="H43" s="351"/>
      <c r="J43" s="351" t="s">
        <v>1093</v>
      </c>
      <c r="K43" s="357">
        <f>F43</f>
        <v>9759351</v>
      </c>
      <c r="L43" s="357">
        <f>K43</f>
        <v>9759351</v>
      </c>
      <c r="M43" s="357"/>
      <c r="N43" s="357"/>
      <c r="O43" s="357"/>
    </row>
    <row r="44" spans="1:30">
      <c r="A44" s="95" t="s">
        <v>16</v>
      </c>
      <c r="B44" s="86">
        <f>'RGVM FGD'!M67</f>
        <v>2783024</v>
      </c>
      <c r="C44" s="86"/>
      <c r="D44" s="357">
        <f>'RGVM FGD'!F67</f>
        <v>0</v>
      </c>
      <c r="E44" s="284">
        <f>B44-D44</f>
        <v>2783024</v>
      </c>
      <c r="F44" s="73">
        <f t="shared" si="8"/>
        <v>0</v>
      </c>
      <c r="G44" s="351"/>
      <c r="H44" s="351"/>
      <c r="I44" s="351"/>
      <c r="J44" s="351" t="s">
        <v>1094</v>
      </c>
      <c r="K44" s="670"/>
      <c r="L44" s="671"/>
      <c r="M44" s="671" t="s">
        <v>1095</v>
      </c>
      <c r="N44" s="671"/>
      <c r="O44" s="672"/>
    </row>
    <row r="45" spans="1:30">
      <c r="A45" s="96" t="s">
        <v>55</v>
      </c>
      <c r="B45" s="86">
        <f>'RGVM FGD'!M68</f>
        <v>26329257</v>
      </c>
      <c r="C45" s="86"/>
      <c r="D45" s="357">
        <f>'RGVM FGD'!F68</f>
        <v>0</v>
      </c>
      <c r="E45" s="284">
        <f>B45-D45</f>
        <v>26329257</v>
      </c>
      <c r="F45" s="73">
        <f t="shared" ref="F45:F53" si="9">B45-(SUM(D45:E45))</f>
        <v>0</v>
      </c>
      <c r="G45" s="776"/>
      <c r="J45" s="51" t="s">
        <v>1096</v>
      </c>
      <c r="K45" s="1266" t="s">
        <v>1095</v>
      </c>
      <c r="L45" s="1267"/>
      <c r="M45" s="1267"/>
      <c r="N45" s="1267"/>
      <c r="O45" s="1268"/>
    </row>
    <row r="46" spans="1:30">
      <c r="A46" s="95" t="s">
        <v>17</v>
      </c>
      <c r="B46" s="86">
        <f>'RGVM FGD'!M69</f>
        <v>10029460</v>
      </c>
      <c r="C46" s="86"/>
      <c r="D46" s="357">
        <f>'RGVM FGD'!F69</f>
        <v>0</v>
      </c>
      <c r="E46" s="73"/>
      <c r="F46" s="73">
        <f t="shared" si="9"/>
        <v>10029460</v>
      </c>
      <c r="G46" s="351"/>
      <c r="H46" s="1048" t="s">
        <v>1395</v>
      </c>
      <c r="I46" s="1047">
        <f>ROUND(F46/$C$6,0)</f>
        <v>99302</v>
      </c>
      <c r="J46" s="351" t="s">
        <v>1097</v>
      </c>
      <c r="K46" s="357">
        <f t="shared" ref="K46:K50" si="10">F46</f>
        <v>10029460</v>
      </c>
      <c r="L46" s="357">
        <f>K46</f>
        <v>10029460</v>
      </c>
      <c r="M46" s="357"/>
      <c r="N46" s="357"/>
      <c r="O46" s="357"/>
    </row>
    <row r="47" spans="1:30">
      <c r="A47" s="95" t="s">
        <v>18</v>
      </c>
      <c r="B47" s="86">
        <f>'RGVM FGD'!M70</f>
        <v>2074264</v>
      </c>
      <c r="C47" s="86"/>
      <c r="D47" s="357">
        <f>'RGVM FGD'!F70</f>
        <v>0</v>
      </c>
      <c r="E47" s="73"/>
      <c r="F47" s="73">
        <f t="shared" si="9"/>
        <v>2074264</v>
      </c>
      <c r="G47" s="351"/>
      <c r="H47" s="351"/>
      <c r="I47" s="351"/>
      <c r="J47" s="351" t="s">
        <v>1098</v>
      </c>
      <c r="K47" s="357">
        <f t="shared" si="10"/>
        <v>2074264</v>
      </c>
      <c r="L47" s="357"/>
      <c r="M47" s="357">
        <f>K47</f>
        <v>2074264</v>
      </c>
      <c r="N47" s="357"/>
      <c r="O47" s="357"/>
    </row>
    <row r="48" spans="1:30">
      <c r="A48" s="95" t="s">
        <v>19</v>
      </c>
      <c r="B48" s="86">
        <f>'RGVM FGD'!M71</f>
        <v>4471475</v>
      </c>
      <c r="C48" s="86"/>
      <c r="D48" s="357">
        <f>'RGVM FGD'!F71</f>
        <v>0</v>
      </c>
      <c r="E48" s="73"/>
      <c r="F48" s="73">
        <f t="shared" si="9"/>
        <v>4471475</v>
      </c>
      <c r="G48" s="351"/>
      <c r="H48" s="1048" t="s">
        <v>1396</v>
      </c>
      <c r="I48" s="1047">
        <f>ROUND(F48/$C$6,0)</f>
        <v>44272</v>
      </c>
      <c r="J48" s="351" t="s">
        <v>675</v>
      </c>
      <c r="K48" s="357">
        <f t="shared" si="10"/>
        <v>4471475</v>
      </c>
      <c r="L48" s="357"/>
      <c r="M48" s="357"/>
      <c r="N48" s="357">
        <f>K48</f>
        <v>4471475</v>
      </c>
      <c r="O48" s="357"/>
    </row>
    <row r="49" spans="1:30">
      <c r="A49" s="95" t="s">
        <v>20</v>
      </c>
      <c r="B49" s="86">
        <f>'RGVM FGD'!M72</f>
        <v>4098636</v>
      </c>
      <c r="C49" s="86"/>
      <c r="D49" s="357">
        <f>'RGVM FGD'!F72</f>
        <v>0</v>
      </c>
      <c r="E49" s="73"/>
      <c r="F49" s="73">
        <f t="shared" si="9"/>
        <v>4098636</v>
      </c>
      <c r="G49" s="351"/>
      <c r="H49" s="351"/>
      <c r="I49" s="351"/>
      <c r="J49" s="351" t="s">
        <v>676</v>
      </c>
      <c r="K49" s="357">
        <f t="shared" si="10"/>
        <v>4098636</v>
      </c>
      <c r="L49" s="357"/>
      <c r="M49" s="357"/>
      <c r="N49" s="357">
        <f>K49</f>
        <v>4098636</v>
      </c>
      <c r="O49" s="357"/>
    </row>
    <row r="50" spans="1:30">
      <c r="A50" s="95" t="s">
        <v>21</v>
      </c>
      <c r="B50" s="86">
        <f>'RGVM FGD'!M73</f>
        <v>1046996</v>
      </c>
      <c r="C50" s="86"/>
      <c r="D50" s="357">
        <f>'RGVM FGD'!F73</f>
        <v>0</v>
      </c>
      <c r="E50" s="73"/>
      <c r="F50" s="73">
        <f t="shared" si="9"/>
        <v>1046996</v>
      </c>
      <c r="G50" s="351"/>
      <c r="H50" s="351"/>
      <c r="I50" s="351"/>
      <c r="J50" s="351" t="s">
        <v>1099</v>
      </c>
      <c r="K50" s="357">
        <f t="shared" si="10"/>
        <v>1046996</v>
      </c>
      <c r="L50" s="357"/>
      <c r="M50" s="357">
        <f>K50</f>
        <v>1046996</v>
      </c>
      <c r="N50" s="357"/>
      <c r="O50" s="357"/>
    </row>
    <row r="51" spans="1:30">
      <c r="A51" s="95" t="s">
        <v>1363</v>
      </c>
      <c r="B51" s="86">
        <f>'RGVM FGD'!M74</f>
        <v>0</v>
      </c>
      <c r="C51" s="86"/>
      <c r="D51" s="657">
        <f>B51</f>
        <v>0</v>
      </c>
      <c r="E51" s="73"/>
      <c r="F51" s="73">
        <f t="shared" si="9"/>
        <v>0</v>
      </c>
      <c r="G51" s="351"/>
      <c r="H51" s="351"/>
      <c r="I51" s="351"/>
      <c r="J51" s="351" t="s">
        <v>660</v>
      </c>
      <c r="K51" s="670"/>
      <c r="L51" s="671"/>
      <c r="M51" s="671" t="s">
        <v>1095</v>
      </c>
      <c r="N51" s="671"/>
      <c r="O51" s="672"/>
    </row>
    <row r="52" spans="1:30">
      <c r="A52" s="95" t="s">
        <v>65</v>
      </c>
      <c r="B52" s="86">
        <f>'RGVM FGD'!M75</f>
        <v>552580</v>
      </c>
      <c r="C52" s="86"/>
      <c r="D52" s="357">
        <f>'RGVM FGD'!F75</f>
        <v>0</v>
      </c>
      <c r="E52" s="73"/>
      <c r="F52" s="73">
        <f t="shared" si="9"/>
        <v>552580</v>
      </c>
      <c r="G52" s="351"/>
      <c r="J52" s="351" t="s">
        <v>1100</v>
      </c>
      <c r="K52" s="357">
        <f t="shared" ref="K52:K53" si="11">F52</f>
        <v>552580</v>
      </c>
      <c r="L52" s="357"/>
      <c r="M52" s="357"/>
      <c r="N52" s="357"/>
      <c r="O52" s="357">
        <f>K52</f>
        <v>552580</v>
      </c>
    </row>
    <row r="53" spans="1:30" ht="13.5" thickBot="1">
      <c r="A53" s="74" t="s">
        <v>47</v>
      </c>
      <c r="B53" s="86">
        <f>'RGVM FGD'!M76</f>
        <v>0</v>
      </c>
      <c r="C53" s="86"/>
      <c r="D53" s="357">
        <f>'RGVM FGD'!F76</f>
        <v>0</v>
      </c>
      <c r="E53" s="73"/>
      <c r="F53" s="73">
        <f t="shared" si="9"/>
        <v>0</v>
      </c>
      <c r="G53" s="24"/>
      <c r="H53" s="1048" t="s">
        <v>1397</v>
      </c>
      <c r="I53" s="1047">
        <f>ROUND(SUM(F43+F47+F49+F50+F52+F53)/$C$6,0)</f>
        <v>173582</v>
      </c>
      <c r="J53" s="572" t="s">
        <v>1022</v>
      </c>
      <c r="K53" s="357">
        <f t="shared" si="11"/>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78871991</v>
      </c>
      <c r="C54" s="48">
        <f>SUM(C42:C53)</f>
        <v>0</v>
      </c>
      <c r="D54" s="48">
        <f>SUM(D42:D53)</f>
        <v>0</v>
      </c>
      <c r="E54" s="698">
        <f>SUM(E43:E53)</f>
        <v>29112281</v>
      </c>
      <c r="F54" s="649">
        <f>SUM(F42:F53)</f>
        <v>49759710</v>
      </c>
      <c r="G54" s="1279" t="s">
        <v>1121</v>
      </c>
      <c r="H54" s="1280"/>
      <c r="I54" s="697" t="s">
        <v>1398</v>
      </c>
      <c r="J54" s="572" t="s">
        <v>1101</v>
      </c>
      <c r="K54" s="574">
        <f>SUM(K42:K53)</f>
        <v>49759710</v>
      </c>
      <c r="L54" s="574">
        <f t="shared" ref="L54:O54" si="12">SUM(L42:L53)</f>
        <v>37515759</v>
      </c>
      <c r="M54" s="574">
        <f t="shared" si="12"/>
        <v>3121260</v>
      </c>
      <c r="N54" s="574">
        <f t="shared" si="12"/>
        <v>8570111</v>
      </c>
      <c r="O54" s="574">
        <f t="shared" si="12"/>
        <v>552580</v>
      </c>
    </row>
    <row r="55" spans="1:30" ht="14.25" customHeight="1" thickTop="1" thickBot="1">
      <c r="A55" s="92"/>
      <c r="C55" s="74"/>
      <c r="F55" s="575"/>
      <c r="G55" s="1281"/>
      <c r="H55" s="1282"/>
      <c r="I55" s="699">
        <f>ROUND(F54/C6,0)</f>
        <v>492670</v>
      </c>
      <c r="J55" s="1258" t="s">
        <v>1102</v>
      </c>
      <c r="K55" s="573"/>
      <c r="L55" s="573"/>
      <c r="M55" s="573"/>
      <c r="N55" s="573"/>
      <c r="O55" s="573"/>
    </row>
    <row r="56" spans="1:30" ht="16.5" customHeight="1" thickBot="1">
      <c r="A56" s="78" t="s">
        <v>23</v>
      </c>
      <c r="C56" s="74"/>
      <c r="F56" s="576"/>
      <c r="G56" s="1283"/>
      <c r="H56" s="1284"/>
      <c r="I56" s="693" t="s">
        <v>1399</v>
      </c>
      <c r="J56" s="1258"/>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'RGVM FGD'!M80</f>
        <v>-5715874</v>
      </c>
      <c r="C57" s="86"/>
      <c r="D57" s="143">
        <f>'RGVM FGD'!F80</f>
        <v>0</v>
      </c>
      <c r="E57" s="143"/>
      <c r="F57" s="1045">
        <f t="shared" ref="F57:F60" si="13">B57-(SUM(D57:E57))</f>
        <v>-5715874</v>
      </c>
      <c r="G57" s="780"/>
      <c r="I57" s="696">
        <f>ROUND($F$54/$I$8,0)</f>
        <v>577594</v>
      </c>
      <c r="J57" s="577"/>
      <c r="K57" s="24"/>
      <c r="L57" s="24"/>
      <c r="M57" s="24"/>
      <c r="N57" s="24"/>
      <c r="O57" s="24"/>
      <c r="P57" s="89"/>
      <c r="Q57" s="89"/>
      <c r="R57" s="89"/>
      <c r="S57" s="89"/>
      <c r="T57" s="89"/>
      <c r="U57" s="89"/>
      <c r="V57" s="89"/>
      <c r="W57" s="89"/>
      <c r="X57" s="89"/>
      <c r="Y57" s="89"/>
      <c r="Z57" s="89"/>
      <c r="AA57" s="89"/>
      <c r="AB57" s="89"/>
      <c r="AC57" s="89"/>
      <c r="AD57" s="89"/>
    </row>
    <row r="58" spans="1:30">
      <c r="A58" s="74" t="s">
        <v>615</v>
      </c>
      <c r="B58" s="86">
        <f>'RGVM FGD'!M81</f>
        <v>-134513</v>
      </c>
      <c r="C58" s="86"/>
      <c r="D58" s="285">
        <f>'RGVM FGD'!F81</f>
        <v>-43670</v>
      </c>
      <c r="E58" s="82"/>
      <c r="F58" s="73">
        <f t="shared" si="13"/>
        <v>-90843</v>
      </c>
      <c r="G58" s="351"/>
      <c r="J58" s="351"/>
      <c r="K58" s="578"/>
      <c r="L58" s="578"/>
      <c r="M58" s="578"/>
      <c r="N58" s="578"/>
      <c r="O58" s="578"/>
    </row>
    <row r="59" spans="1:30">
      <c r="A59" s="98" t="s">
        <v>52</v>
      </c>
      <c r="B59" s="86">
        <f>'RGVM FGD'!M82</f>
        <v>21046673</v>
      </c>
      <c r="C59" s="86"/>
      <c r="D59" s="285">
        <f>'RGVM FGD'!F82</f>
        <v>0</v>
      </c>
      <c r="E59" s="82"/>
      <c r="F59" s="73">
        <f t="shared" si="13"/>
        <v>21046673</v>
      </c>
      <c r="G59" s="24"/>
      <c r="J59" s="658"/>
      <c r="K59" s="658"/>
      <c r="L59" s="658"/>
      <c r="M59" s="658"/>
      <c r="N59" s="658"/>
      <c r="O59" s="658"/>
    </row>
    <row r="60" spans="1:30" ht="12" customHeight="1">
      <c r="A60" s="74" t="s">
        <v>43</v>
      </c>
      <c r="B60" s="86">
        <f>'RGVM FGD'!M83</f>
        <v>0</v>
      </c>
      <c r="C60" s="86"/>
      <c r="D60" s="285">
        <f>'RGVM FGD'!F83</f>
        <v>0</v>
      </c>
      <c r="E60" s="82"/>
      <c r="F60" s="73">
        <f t="shared" si="13"/>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15196286</v>
      </c>
      <c r="C61" s="88"/>
      <c r="D61" s="88">
        <f>SUM(D57:D60)</f>
        <v>-43670</v>
      </c>
      <c r="E61" s="88">
        <f>SUM(E57:E60)</f>
        <v>0</v>
      </c>
      <c r="F61" s="99">
        <f>SUM(F57:F60)</f>
        <v>15239956</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'RGVM FGD'!M87</f>
        <v>15251</v>
      </c>
      <c r="C64" s="86"/>
      <c r="D64" s="143">
        <f>'RGVM FGD'!F87</f>
        <v>0</v>
      </c>
      <c r="E64" s="143"/>
      <c r="F64" s="143">
        <f t="shared" ref="F64:F65" si="14">B64-(SUM(D64:E64))</f>
        <v>15251</v>
      </c>
      <c r="O64" s="51"/>
    </row>
    <row r="65" spans="1:30">
      <c r="A65" s="74" t="s">
        <v>45</v>
      </c>
      <c r="B65" s="86">
        <f>'RGVM FGD'!M88</f>
        <v>330000</v>
      </c>
      <c r="C65" s="86"/>
      <c r="D65" s="285">
        <f>'RGVM FGD'!F88</f>
        <v>0</v>
      </c>
      <c r="E65" s="82"/>
      <c r="F65" s="73">
        <f t="shared" si="14"/>
        <v>330000</v>
      </c>
      <c r="O65" s="51"/>
      <c r="P65" s="89"/>
      <c r="Q65" s="89"/>
      <c r="R65" s="89"/>
      <c r="S65" s="89"/>
      <c r="T65" s="89"/>
      <c r="U65" s="89"/>
      <c r="V65" s="89"/>
      <c r="W65" s="89"/>
      <c r="X65" s="89"/>
      <c r="Y65" s="89"/>
      <c r="Z65" s="89"/>
      <c r="AA65" s="89"/>
      <c r="AB65" s="89"/>
      <c r="AC65" s="89"/>
      <c r="AD65" s="89"/>
    </row>
    <row r="66" spans="1:30" s="92" customFormat="1">
      <c r="A66" s="87" t="s">
        <v>3</v>
      </c>
      <c r="B66" s="88">
        <f>SUM(B64:B65)</f>
        <v>345251</v>
      </c>
      <c r="C66" s="88"/>
      <c r="D66" s="88">
        <f>SUM(D64:D65)</f>
        <v>0</v>
      </c>
      <c r="E66" s="88">
        <f>SUM(E64:E65)</f>
        <v>0</v>
      </c>
      <c r="F66" s="88">
        <f>SUM(F64:F65)</f>
        <v>345251</v>
      </c>
      <c r="G66" s="51"/>
      <c r="H66" s="51"/>
      <c r="I66" s="51"/>
      <c r="J66" s="51"/>
      <c r="K66" s="51"/>
      <c r="L66" s="51"/>
      <c r="M66" s="51"/>
      <c r="N66" s="51"/>
      <c r="O66" s="51"/>
    </row>
    <row r="67" spans="1:30">
      <c r="C67" s="74"/>
      <c r="O67" s="51"/>
    </row>
    <row r="68" spans="1:30" ht="13.5" thickBot="1">
      <c r="A68" s="100" t="s">
        <v>616</v>
      </c>
      <c r="B68" s="49">
        <f>B39-B54+B61+B66</f>
        <v>22257940</v>
      </c>
      <c r="C68" s="49"/>
      <c r="D68" s="49">
        <f>D39-D54+D61+D66</f>
        <v>55867</v>
      </c>
      <c r="E68" s="49">
        <f>E39-E54+E61+E66</f>
        <v>-24647956</v>
      </c>
      <c r="F68" s="49">
        <f>F39-F54+F61+F66</f>
        <v>46850029</v>
      </c>
      <c r="O68" s="51"/>
    </row>
    <row r="69" spans="1:30" ht="13.5" thickTop="1"/>
    <row r="70" spans="1:30">
      <c r="A70" s="51" t="s">
        <v>1109</v>
      </c>
      <c r="D70" s="143"/>
    </row>
    <row r="71" spans="1:30">
      <c r="A71" s="74" t="s">
        <v>51</v>
      </c>
    </row>
    <row r="72" spans="1:30">
      <c r="B72" s="659">
        <f>'RGVM FGD'!$M$91</f>
        <v>22257940</v>
      </c>
      <c r="C72" s="74"/>
      <c r="D72" s="659">
        <f>'RGVM FGD'!F91</f>
        <v>55867</v>
      </c>
      <c r="E72" s="659">
        <f>'RGVM FGD'!M50</f>
        <v>4464325</v>
      </c>
      <c r="F72" s="74"/>
    </row>
    <row r="73" spans="1:30">
      <c r="B73" s="659"/>
      <c r="C73" s="74"/>
      <c r="D73" s="659">
        <f>'RGVM FGD'!F74</f>
        <v>0</v>
      </c>
      <c r="E73" s="659">
        <f>'RGVM FGD'!M53</f>
        <v>0</v>
      </c>
      <c r="F73" s="659"/>
    </row>
    <row r="74" spans="1:30">
      <c r="B74" s="676"/>
      <c r="C74" s="92"/>
      <c r="D74" s="676">
        <f>-'RGVM FGD'!M74</f>
        <v>0</v>
      </c>
      <c r="E74" s="659">
        <f>-'RGVM FGD'!M68</f>
        <v>-26329257</v>
      </c>
      <c r="F74" s="659"/>
    </row>
    <row r="75" spans="1:30">
      <c r="B75" s="676"/>
      <c r="C75" s="74"/>
      <c r="D75" s="676"/>
      <c r="E75" s="676">
        <f>-'RGVM FGD'!M67</f>
        <v>-2783024</v>
      </c>
      <c r="F75" s="659"/>
      <c r="G75" s="351"/>
      <c r="H75" s="351"/>
    </row>
    <row r="76" spans="1:30" ht="12.75" customHeight="1">
      <c r="B76" s="675"/>
      <c r="C76" s="74"/>
      <c r="D76" s="675"/>
      <c r="E76" s="675">
        <f>-D26</f>
        <v>0</v>
      </c>
      <c r="F76" s="659"/>
      <c r="G76" s="351"/>
      <c r="H76" s="351"/>
    </row>
    <row r="77" spans="1:30" ht="12.75" customHeight="1">
      <c r="B77" s="659">
        <f>SUM(B72:B76)</f>
        <v>22257940</v>
      </c>
      <c r="C77" s="74"/>
      <c r="D77" s="659">
        <f>SUM(D72:D76)</f>
        <v>55867</v>
      </c>
      <c r="E77" s="659">
        <f>SUM(E72:E76)</f>
        <v>-24647956</v>
      </c>
      <c r="F77" s="659">
        <f>B77-D77-E77</f>
        <v>46850029</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22257940</v>
      </c>
      <c r="C80" s="74"/>
      <c r="D80" s="659">
        <f>SUM(D77:D79)</f>
        <v>55867</v>
      </c>
      <c r="E80" s="659">
        <f>SUM(E77:E79)</f>
        <v>-24647956</v>
      </c>
      <c r="F80" s="659">
        <f>SUM(F77:F79)</f>
        <v>46850029</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5:O35"/>
    <mergeCell ref="F1:I1"/>
    <mergeCell ref="J1:O1"/>
    <mergeCell ref="D4:D5"/>
    <mergeCell ref="E4:E5"/>
    <mergeCell ref="K36:O36"/>
    <mergeCell ref="K37:K40"/>
    <mergeCell ref="L37:L40"/>
    <mergeCell ref="M37:M40"/>
    <mergeCell ref="N37:N40"/>
    <mergeCell ref="O37:O40"/>
    <mergeCell ref="G38:H38"/>
    <mergeCell ref="G39:H39"/>
    <mergeCell ref="K45:O45"/>
    <mergeCell ref="J55:J56"/>
    <mergeCell ref="G54:H56"/>
  </mergeCells>
  <hyperlinks>
    <hyperlink ref="D1" location="Index!A1" display="Return to Index"/>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B128"/>
  <sheetViews>
    <sheetView showGridLines="0" zoomScale="75" zoomScaleNormal="75" workbookViewId="0">
      <pane xSplit="2" ySplit="8" topLeftCell="D9" activePane="bottomRight" state="frozen"/>
      <selection activeCell="C36" sqref="C36"/>
      <selection pane="topRight" activeCell="C36" sqref="C36"/>
      <selection pane="bottomLeft" activeCell="C36" sqref="C36"/>
      <selection pane="bottomRight" activeCell="O2" sqref="O2"/>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73" t="str">
        <f>'RGVM Chts'!$A$1</f>
        <v>The University of Texas Rio Grande Valley Medical School (M)</v>
      </c>
      <c r="C2" s="1273"/>
      <c r="D2" s="1273"/>
      <c r="E2" s="1273"/>
      <c r="F2" s="1273"/>
      <c r="H2" s="174"/>
      <c r="I2" s="149" t="str">
        <f>IF($B$2&lt;&gt;Input!$H$16,"Name Mismatch","")</f>
        <v/>
      </c>
      <c r="J2" s="182"/>
      <c r="K2" s="182"/>
      <c r="L2" s="182"/>
      <c r="M2" s="175"/>
      <c r="O2" s="737" t="s">
        <v>1123</v>
      </c>
      <c r="P2" s="294"/>
    </row>
    <row r="3" spans="1:28" ht="20.25">
      <c r="A3" s="173">
        <v>2</v>
      </c>
      <c r="B3" s="1273" t="str">
        <f>'Smmy Chts'!$A$2</f>
        <v>For the Year Ended August 31, 2018</v>
      </c>
      <c r="C3" s="1273"/>
      <c r="D3" s="1273"/>
      <c r="E3" s="1273"/>
      <c r="F3" s="1273"/>
      <c r="G3" s="174"/>
      <c r="H3" s="174"/>
      <c r="I3" s="182"/>
      <c r="J3" s="182"/>
      <c r="K3" s="182"/>
      <c r="L3" s="182"/>
      <c r="M3" s="175"/>
      <c r="O3" s="73"/>
    </row>
    <row r="4" spans="1:28" ht="20.25">
      <c r="A4" s="173">
        <v>3</v>
      </c>
      <c r="B4" s="1273" t="str">
        <f>'Smmy Chts'!$A$3</f>
        <v>Source: FY 2018 Annual Financial Report</v>
      </c>
      <c r="C4" s="1273"/>
      <c r="D4" s="1273"/>
      <c r="E4" s="1273"/>
      <c r="F4" s="1273"/>
      <c r="G4" s="174"/>
      <c r="H4" s="174"/>
      <c r="I4" s="182"/>
      <c r="J4" s="182"/>
      <c r="K4" s="182"/>
      <c r="L4" s="182"/>
      <c r="M4" s="175"/>
      <c r="O4" s="73"/>
      <c r="P4" s="1313" t="s">
        <v>92</v>
      </c>
      <c r="Q4" s="1314"/>
      <c r="S4" s="294" t="s">
        <v>176</v>
      </c>
    </row>
    <row r="5" spans="1:28">
      <c r="A5" s="173">
        <v>4</v>
      </c>
      <c r="M5" s="173"/>
      <c r="O5" s="292"/>
    </row>
    <row r="6" spans="1:28">
      <c r="A6" s="173">
        <v>5</v>
      </c>
      <c r="B6" s="1336" t="str">
        <f>'Smmy Chts'!$C$32</f>
        <v>Detail Worksheet FY 2018</v>
      </c>
      <c r="C6" s="1336"/>
      <c r="D6" s="1337"/>
      <c r="E6" s="1337"/>
      <c r="F6" s="1337"/>
      <c r="G6" s="1337"/>
      <c r="H6" s="1337"/>
      <c r="I6" s="1337"/>
      <c r="J6" s="1337"/>
      <c r="K6" s="1337"/>
      <c r="L6" s="1337"/>
      <c r="M6" s="1337"/>
      <c r="O6" s="295"/>
    </row>
    <row r="7" spans="1:28">
      <c r="A7" s="173">
        <v>6</v>
      </c>
      <c r="B7" s="176"/>
      <c r="C7" s="176"/>
      <c r="M7" s="152" t="str">
        <f>'Smmy Chts'!$C$33</f>
        <v>FY 2018</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Input!$M$16</f>
        <v>26403746</v>
      </c>
      <c r="E10" s="355">
        <f>Input!$N$16</f>
        <v>0</v>
      </c>
      <c r="F10" s="355">
        <f>Input!$O$16</f>
        <v>0</v>
      </c>
      <c r="G10" s="355">
        <f>Input!$P$16</f>
        <v>0</v>
      </c>
      <c r="H10" s="355">
        <f>Input!$Q$16</f>
        <v>0</v>
      </c>
      <c r="I10" s="355">
        <f>Input!$R$16</f>
        <v>0</v>
      </c>
      <c r="J10" s="355">
        <f>Input!$S$16</f>
        <v>0</v>
      </c>
      <c r="K10" s="355">
        <f>Input!$T$16</f>
        <v>0</v>
      </c>
      <c r="L10" s="355">
        <f>Input!$U$16</f>
        <v>0</v>
      </c>
      <c r="M10" s="357">
        <f t="shared" ref="M10:M15" si="0">D10+E10+F10+G10+H10+I10+J10+K10+L10</f>
        <v>26403746</v>
      </c>
      <c r="O10" s="184"/>
      <c r="P10" s="1308" t="s">
        <v>595</v>
      </c>
      <c r="Q10" s="50"/>
      <c r="R10" s="50"/>
      <c r="S10" s="50"/>
      <c r="T10" s="183"/>
      <c r="U10" s="183"/>
      <c r="V10" s="50"/>
      <c r="W10" s="50"/>
      <c r="X10" s="50"/>
      <c r="Y10" s="50"/>
      <c r="Z10" s="50"/>
      <c r="AA10" s="50"/>
      <c r="AB10" s="50"/>
    </row>
    <row r="11" spans="1:28" s="149" customFormat="1">
      <c r="A11" s="147">
        <v>10</v>
      </c>
      <c r="B11" s="149" t="s">
        <v>2</v>
      </c>
      <c r="D11" s="355">
        <f>Input!$V$16</f>
        <v>2925000</v>
      </c>
      <c r="E11" s="355">
        <f>Input!$W$16</f>
        <v>0</v>
      </c>
      <c r="F11" s="355">
        <f>Input!$X$16</f>
        <v>0</v>
      </c>
      <c r="G11" s="355">
        <f>Input!$Y$16</f>
        <v>0</v>
      </c>
      <c r="H11" s="355">
        <f>Input!$Z$16</f>
        <v>0</v>
      </c>
      <c r="I11" s="355">
        <f>Input!$AA$16</f>
        <v>0</v>
      </c>
      <c r="J11" s="355">
        <f>Input!$AB$16</f>
        <v>0</v>
      </c>
      <c r="K11" s="355">
        <f>Input!$AC$16</f>
        <v>0</v>
      </c>
      <c r="L11" s="355">
        <f>Input!$AD$16</f>
        <v>0</v>
      </c>
      <c r="M11" s="357">
        <f t="shared" si="0"/>
        <v>2925000</v>
      </c>
      <c r="N11" s="156"/>
      <c r="O11" s="455"/>
      <c r="P11" s="1309"/>
      <c r="Q11" s="50"/>
      <c r="R11" s="50"/>
      <c r="S11" s="50"/>
      <c r="T11" s="183"/>
      <c r="U11" s="183"/>
      <c r="V11" s="50"/>
      <c r="W11" s="50"/>
      <c r="X11" s="50"/>
      <c r="Y11" s="50"/>
      <c r="Z11" s="50"/>
      <c r="AA11" s="50"/>
      <c r="AB11" s="50"/>
    </row>
    <row r="12" spans="1:28" s="149" customFormat="1" ht="12.75" hidden="1" customHeight="1">
      <c r="A12" s="147"/>
      <c r="B12" s="157" t="s">
        <v>1345</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1298</v>
      </c>
      <c r="D13" s="355">
        <f>Input!$AN$16</f>
        <v>0</v>
      </c>
      <c r="E13" s="355">
        <f>Input!$AO$16</f>
        <v>0</v>
      </c>
      <c r="F13" s="355">
        <f>Input!$AP$16</f>
        <v>0</v>
      </c>
      <c r="G13" s="355">
        <f>Input!$AQ$16</f>
        <v>0</v>
      </c>
      <c r="H13" s="355">
        <f>Input!$AR$16</f>
        <v>0</v>
      </c>
      <c r="I13" s="355">
        <f>Input!$AS$16</f>
        <v>0</v>
      </c>
      <c r="J13" s="355">
        <f>Input!$AT$16</f>
        <v>0</v>
      </c>
      <c r="K13" s="355">
        <f>Input!$AU$16</f>
        <v>0</v>
      </c>
      <c r="L13" s="355">
        <f>Input!$AV$16</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Input!$AW$16</f>
        <v>0</v>
      </c>
      <c r="E14" s="355">
        <f>Input!$AX$16</f>
        <v>0</v>
      </c>
      <c r="F14" s="355">
        <f>Input!$AY$16</f>
        <v>0</v>
      </c>
      <c r="G14" s="355">
        <f>Input!$AZ$16</f>
        <v>0</v>
      </c>
      <c r="H14" s="355">
        <f>Input!$BA$16</f>
        <v>0</v>
      </c>
      <c r="I14" s="355">
        <f>Input!$BB$16</f>
        <v>0</v>
      </c>
      <c r="J14" s="355">
        <f>Input!$BC$16</f>
        <v>0</v>
      </c>
      <c r="K14" s="355">
        <f>Input!$BD$16</f>
        <v>0</v>
      </c>
      <c r="L14" s="355">
        <f>Input!$BE$16</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29328746</v>
      </c>
      <c r="E15" s="356">
        <f t="shared" ref="E15:L15" si="1">SUM(E10:E14)</f>
        <v>0</v>
      </c>
      <c r="F15" s="356">
        <f t="shared" si="1"/>
        <v>0</v>
      </c>
      <c r="G15" s="356">
        <f t="shared" si="1"/>
        <v>0</v>
      </c>
      <c r="H15" s="356">
        <f t="shared" si="1"/>
        <v>0</v>
      </c>
      <c r="I15" s="356">
        <f t="shared" si="1"/>
        <v>0</v>
      </c>
      <c r="J15" s="356">
        <f t="shared" si="1"/>
        <v>0</v>
      </c>
      <c r="K15" s="356">
        <f t="shared" si="1"/>
        <v>0</v>
      </c>
      <c r="L15" s="356">
        <f t="shared" si="1"/>
        <v>0</v>
      </c>
      <c r="M15" s="356">
        <f t="shared" si="0"/>
        <v>29328746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1058</v>
      </c>
    </row>
    <row r="18" spans="1:26" s="50" customFormat="1" ht="13.5" customHeight="1" thickBot="1">
      <c r="A18" s="293"/>
      <c r="B18" s="536" t="s">
        <v>995</v>
      </c>
      <c r="C18" s="536"/>
      <c r="D18" s="356">
        <f t="shared" ref="D18:L18" si="2">D23-SUM(D19:D22)</f>
        <v>846148</v>
      </c>
      <c r="E18" s="356">
        <f t="shared" si="2"/>
        <v>1109303</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1955451</v>
      </c>
      <c r="V18" s="342"/>
      <c r="X18" s="326"/>
    </row>
    <row r="19" spans="1:26" s="50" customFormat="1" ht="12.75" customHeight="1" thickTop="1" thickBot="1">
      <c r="A19" s="293"/>
      <c r="B19" s="51" t="s">
        <v>638</v>
      </c>
      <c r="C19" s="51"/>
      <c r="D19" s="355">
        <f>Input!$BF$16</f>
        <v>-152970</v>
      </c>
      <c r="E19" s="355">
        <f>Input!$BG$16</f>
        <v>0</v>
      </c>
      <c r="F19" s="355">
        <f>Input!$BH$16</f>
        <v>0</v>
      </c>
      <c r="G19" s="355">
        <f>Input!$BI$16</f>
        <v>0</v>
      </c>
      <c r="H19" s="355">
        <f>Input!$BJ$16</f>
        <v>0</v>
      </c>
      <c r="I19" s="355">
        <f>Input!BK6</f>
        <v>0</v>
      </c>
      <c r="J19" s="355">
        <f>Input!$BL$16</f>
        <v>0</v>
      </c>
      <c r="K19" s="355">
        <f>Input!BM6</f>
        <v>0</v>
      </c>
      <c r="L19" s="355">
        <f>Input!BN6</f>
        <v>0</v>
      </c>
      <c r="M19" s="357">
        <f t="shared" si="3"/>
        <v>-152970</v>
      </c>
      <c r="O19" s="1310" t="s">
        <v>1244</v>
      </c>
      <c r="P19" s="1311"/>
      <c r="Q19" s="1311"/>
      <c r="R19" s="1311"/>
      <c r="S19" s="1312"/>
      <c r="U19" s="1295" t="s">
        <v>996</v>
      </c>
      <c r="V19" s="1296"/>
      <c r="W19" s="1296"/>
      <c r="X19" s="1296"/>
      <c r="Y19" s="1297"/>
    </row>
    <row r="20" spans="1:26" s="50" customFormat="1" ht="12.75" customHeight="1" thickTop="1">
      <c r="A20" s="293"/>
      <c r="B20" s="51" t="s">
        <v>639</v>
      </c>
      <c r="C20" s="51"/>
      <c r="D20" s="355">
        <f>Input!$BO$16</f>
        <v>0</v>
      </c>
      <c r="E20" s="355">
        <f>Input!$BP$16</f>
        <v>0</v>
      </c>
      <c r="F20" s="355">
        <f>Input!$BQ$16</f>
        <v>0</v>
      </c>
      <c r="G20" s="355">
        <f>Input!$BR$16</f>
        <v>0</v>
      </c>
      <c r="H20" s="355">
        <f>Input!$BS$16</f>
        <v>0</v>
      </c>
      <c r="I20" s="355">
        <f>Input!$BT$16</f>
        <v>0</v>
      </c>
      <c r="J20" s="355">
        <f>Input!BU6</f>
        <v>0</v>
      </c>
      <c r="K20" s="355">
        <f>Input!BV6</f>
        <v>0</v>
      </c>
      <c r="L20" s="355">
        <f>Input!$BW$16</f>
        <v>0</v>
      </c>
      <c r="M20" s="357">
        <f t="shared" si="3"/>
        <v>0</v>
      </c>
      <c r="O20" s="414" t="s">
        <v>215</v>
      </c>
      <c r="P20" s="415"/>
      <c r="Q20" s="416"/>
      <c r="R20" s="416"/>
      <c r="S20" s="537"/>
      <c r="U20" s="538" t="s">
        <v>997</v>
      </c>
      <c r="V20" s="296"/>
      <c r="W20" s="296"/>
      <c r="Y20" s="420"/>
    </row>
    <row r="21" spans="1:26" s="50" customFormat="1">
      <c r="A21" s="293"/>
      <c r="B21" s="51" t="s">
        <v>640</v>
      </c>
      <c r="C21" s="51"/>
      <c r="D21" s="355">
        <f>Input!$BX$16</f>
        <v>0</v>
      </c>
      <c r="E21" s="355">
        <f>Input!$BY$16</f>
        <v>0</v>
      </c>
      <c r="F21" s="355">
        <f>Input!$BZ$16</f>
        <v>0</v>
      </c>
      <c r="G21" s="355">
        <f>Input!$CA$16</f>
        <v>0</v>
      </c>
      <c r="H21" s="355">
        <f>Input!$CB$16</f>
        <v>0</v>
      </c>
      <c r="I21" s="355">
        <f>Input!$CC$16</f>
        <v>0</v>
      </c>
      <c r="J21" s="355">
        <f>Input!$CD$16</f>
        <v>0</v>
      </c>
      <c r="K21" s="355">
        <f>Input!$CE$16</f>
        <v>0</v>
      </c>
      <c r="L21" s="355">
        <f>Input!$CF$16</f>
        <v>0</v>
      </c>
      <c r="M21" s="357">
        <f t="shared" si="3"/>
        <v>0</v>
      </c>
      <c r="O21" s="430"/>
      <c r="R21" s="347"/>
      <c r="S21" s="539"/>
      <c r="U21" s="621" t="s">
        <v>998</v>
      </c>
      <c r="V21" s="296"/>
      <c r="W21" s="296"/>
      <c r="X21" s="622">
        <f>M44</f>
        <v>2246511</v>
      </c>
      <c r="Y21" s="420"/>
      <c r="Z21" s="326"/>
    </row>
    <row r="22" spans="1:26" s="50" customFormat="1">
      <c r="A22" s="293"/>
      <c r="B22" s="51" t="s">
        <v>641</v>
      </c>
      <c r="C22" s="51"/>
      <c r="D22" s="355">
        <f>Input!$CG$16</f>
        <v>0</v>
      </c>
      <c r="E22" s="355">
        <f>Input!$CH$16</f>
        <v>0</v>
      </c>
      <c r="F22" s="355">
        <f>Input!$CI$16</f>
        <v>0</v>
      </c>
      <c r="G22" s="355">
        <f>Input!$CJ$16</f>
        <v>0</v>
      </c>
      <c r="H22" s="355">
        <f>Input!$CK$16</f>
        <v>0</v>
      </c>
      <c r="I22" s="355">
        <f>Input!$CL$16</f>
        <v>0</v>
      </c>
      <c r="J22" s="355">
        <f>Input!$CM$16</f>
        <v>0</v>
      </c>
      <c r="K22" s="355">
        <f>Input!$CN$16</f>
        <v>0</v>
      </c>
      <c r="L22" s="355">
        <f>Input!$CO$16</f>
        <v>0</v>
      </c>
      <c r="M22" s="357">
        <f t="shared" si="3"/>
        <v>0</v>
      </c>
      <c r="N22" s="299"/>
      <c r="O22" s="430" t="s">
        <v>999</v>
      </c>
      <c r="P22" s="305"/>
      <c r="Q22" s="419">
        <f>M23</f>
        <v>1802481</v>
      </c>
      <c r="S22" s="540"/>
      <c r="U22" s="621" t="s">
        <v>1000</v>
      </c>
      <c r="V22" s="296"/>
      <c r="W22" s="296"/>
      <c r="X22" s="623">
        <f>R30*-1</f>
        <v>9611</v>
      </c>
      <c r="Y22" s="420"/>
    </row>
    <row r="23" spans="1:26" s="50" customFormat="1" ht="12.75" customHeight="1">
      <c r="A23" s="293"/>
      <c r="B23" s="536" t="s">
        <v>642</v>
      </c>
      <c r="C23" s="179"/>
      <c r="D23" s="541">
        <f>Input!$CP$16</f>
        <v>693178</v>
      </c>
      <c r="E23" s="541">
        <f>Input!$CQ$16</f>
        <v>1109303</v>
      </c>
      <c r="F23" s="541">
        <f>Input!$CR$16</f>
        <v>0</v>
      </c>
      <c r="G23" s="541">
        <f>Input!$CS$16</f>
        <v>0</v>
      </c>
      <c r="H23" s="541">
        <f>Input!$CT$16</f>
        <v>0</v>
      </c>
      <c r="I23" s="541">
        <f>Input!$CU$16</f>
        <v>0</v>
      </c>
      <c r="J23" s="541">
        <f>Input!$CV$16</f>
        <v>0</v>
      </c>
      <c r="K23" s="541">
        <f>Input!$CW$16</f>
        <v>0</v>
      </c>
      <c r="L23" s="541">
        <f>Input!$CX$16</f>
        <v>0</v>
      </c>
      <c r="M23" s="542">
        <f t="shared" si="3"/>
        <v>1802481</v>
      </c>
      <c r="O23" s="430"/>
      <c r="P23" s="305"/>
      <c r="Q23" s="419"/>
      <c r="S23" s="540"/>
      <c r="U23" s="538" t="s">
        <v>1185</v>
      </c>
      <c r="V23" s="296"/>
      <c r="W23" s="296"/>
      <c r="X23" s="305"/>
      <c r="Y23" s="420">
        <f>SUM(X21:X22)</f>
        <v>2256122</v>
      </c>
      <c r="Z23" s="326"/>
    </row>
    <row r="24" spans="1:26" s="50" customFormat="1" ht="12.75" customHeight="1">
      <c r="A24" s="293"/>
      <c r="B24" s="51" t="s">
        <v>643</v>
      </c>
      <c r="C24" s="180"/>
      <c r="D24" s="355">
        <f>Input!$CY$16</f>
        <v>0</v>
      </c>
      <c r="E24" s="355">
        <f>Input!$CZ$16</f>
        <v>0</v>
      </c>
      <c r="F24" s="355">
        <f>Input!$DA$16</f>
        <v>0</v>
      </c>
      <c r="G24" s="355">
        <f>Input!$DB$16</f>
        <v>0</v>
      </c>
      <c r="H24" s="355">
        <f>Input!$DC$16</f>
        <v>0</v>
      </c>
      <c r="I24" s="355">
        <f>Input!$DD$16</f>
        <v>0</v>
      </c>
      <c r="J24" s="355">
        <f>Input!$DE$16</f>
        <v>0</v>
      </c>
      <c r="K24" s="355">
        <f>Input!$DF$16</f>
        <v>0</v>
      </c>
      <c r="L24" s="355">
        <f>Input!$DG$16</f>
        <v>0</v>
      </c>
      <c r="M24" s="543">
        <f t="shared" si="3"/>
        <v>0</v>
      </c>
      <c r="O24" s="418" t="s">
        <v>1001</v>
      </c>
      <c r="P24" s="305"/>
      <c r="Q24" s="342"/>
      <c r="R24" s="342">
        <f>SUM(M24:M28)</f>
        <v>-9611</v>
      </c>
      <c r="S24" s="540"/>
      <c r="U24" s="538"/>
      <c r="V24" s="296"/>
      <c r="W24" s="296"/>
      <c r="Y24" s="420"/>
      <c r="Z24" s="326"/>
    </row>
    <row r="25" spans="1:26" s="50" customFormat="1" ht="12.75" customHeight="1">
      <c r="A25" s="293"/>
      <c r="B25" s="51" t="s">
        <v>644</v>
      </c>
      <c r="C25" s="180"/>
      <c r="D25" s="355">
        <f>Input!$DH$16</f>
        <v>0</v>
      </c>
      <c r="E25" s="355">
        <f>Input!$DI$16</f>
        <v>0</v>
      </c>
      <c r="F25" s="355">
        <f>Input!$DJ$16</f>
        <v>0</v>
      </c>
      <c r="G25" s="355">
        <f>Input!$DK$16</f>
        <v>0</v>
      </c>
      <c r="H25" s="355">
        <f>Input!$DL$16</f>
        <v>0</v>
      </c>
      <c r="I25" s="355">
        <f>Input!$DM$16</f>
        <v>0</v>
      </c>
      <c r="J25" s="355">
        <f>Input!$DN$16</f>
        <v>0</v>
      </c>
      <c r="K25" s="355">
        <f>Input!$DO$16</f>
        <v>0</v>
      </c>
      <c r="L25" s="355">
        <f>Input!$DP$16</f>
        <v>0</v>
      </c>
      <c r="M25" s="543">
        <f t="shared" si="3"/>
        <v>0</v>
      </c>
      <c r="O25" s="430"/>
      <c r="P25" s="305"/>
      <c r="Q25" s="342"/>
      <c r="R25" s="342"/>
      <c r="S25" s="540"/>
      <c r="U25" s="544" t="s">
        <v>1045</v>
      </c>
      <c r="V25" s="545"/>
      <c r="W25" s="545"/>
      <c r="X25" s="624">
        <f>(M26+M39)*-1</f>
        <v>9611</v>
      </c>
      <c r="Y25" s="420"/>
      <c r="Z25" s="326"/>
    </row>
    <row r="26" spans="1:26" s="50" customFormat="1" ht="12.75" customHeight="1">
      <c r="A26" s="293"/>
      <c r="B26" s="51" t="s">
        <v>645</v>
      </c>
      <c r="C26" s="180"/>
      <c r="D26" s="355">
        <f>Input!$DQ$16</f>
        <v>-9611</v>
      </c>
      <c r="E26" s="355">
        <f>Input!$DR$16</f>
        <v>0</v>
      </c>
      <c r="F26" s="355">
        <f>Input!$DS$16</f>
        <v>0</v>
      </c>
      <c r="G26" s="355">
        <f>Input!$DT$16</f>
        <v>0</v>
      </c>
      <c r="H26" s="355">
        <f>Input!$DU$16</f>
        <v>0</v>
      </c>
      <c r="I26" s="355">
        <f>Input!$DV$16</f>
        <v>0</v>
      </c>
      <c r="J26" s="355">
        <f>Input!$DW$16</f>
        <v>0</v>
      </c>
      <c r="K26" s="355">
        <f>Input!$DX$16</f>
        <v>0</v>
      </c>
      <c r="L26" s="355">
        <f>Input!$DY$16</f>
        <v>0</v>
      </c>
      <c r="M26" s="543">
        <f t="shared" si="3"/>
        <v>-9611</v>
      </c>
      <c r="O26" s="430" t="s">
        <v>1002</v>
      </c>
      <c r="P26" s="305"/>
      <c r="Q26" s="422">
        <f>M36</f>
        <v>453641</v>
      </c>
      <c r="R26" s="423"/>
      <c r="S26" s="546"/>
      <c r="U26" s="538" t="s">
        <v>1046</v>
      </c>
      <c r="V26" s="296"/>
      <c r="W26" s="296"/>
      <c r="X26" s="547">
        <f>(M21+M34)*-1</f>
        <v>0</v>
      </c>
      <c r="Y26" s="420"/>
      <c r="Z26" s="326"/>
    </row>
    <row r="27" spans="1:26" s="50" customFormat="1">
      <c r="A27" s="293"/>
      <c r="B27" s="51" t="s">
        <v>646</v>
      </c>
      <c r="C27" s="180"/>
      <c r="D27" s="355">
        <f>Input!$DZ$16</f>
        <v>0</v>
      </c>
      <c r="E27" s="355">
        <f>Input!$EA$16</f>
        <v>0</v>
      </c>
      <c r="F27" s="355">
        <f>Input!$EB$16</f>
        <v>0</v>
      </c>
      <c r="G27" s="355">
        <f>Input!$EC$16</f>
        <v>0</v>
      </c>
      <c r="H27" s="355">
        <f>Input!$ED$16</f>
        <v>0</v>
      </c>
      <c r="I27" s="355">
        <f>Input!$EE$16</f>
        <v>0</v>
      </c>
      <c r="J27" s="355">
        <f>Input!$EF$16</f>
        <v>0</v>
      </c>
      <c r="K27" s="355">
        <f>Input!$EG$16</f>
        <v>0</v>
      </c>
      <c r="L27" s="355">
        <f>Input!$EH$16</f>
        <v>0</v>
      </c>
      <c r="M27" s="543">
        <f t="shared" si="3"/>
        <v>0</v>
      </c>
      <c r="O27" s="430"/>
      <c r="P27" s="305"/>
      <c r="Q27" s="422"/>
      <c r="R27" s="423"/>
      <c r="S27" s="546"/>
      <c r="U27" s="621" t="s">
        <v>1047</v>
      </c>
      <c r="V27" s="221"/>
      <c r="W27" s="221"/>
      <c r="X27" s="625">
        <f>SUM(X25:X26)</f>
        <v>9611</v>
      </c>
      <c r="Y27" s="626"/>
    </row>
    <row r="28" spans="1:26" s="50" customFormat="1">
      <c r="A28" s="293"/>
      <c r="B28" s="51" t="s">
        <v>1361</v>
      </c>
      <c r="C28" s="180"/>
      <c r="D28" s="355">
        <f>Input!$EI$16</f>
        <v>0</v>
      </c>
      <c r="E28" s="355">
        <f>Input!$EJ$16</f>
        <v>0</v>
      </c>
      <c r="F28" s="355">
        <f>Input!$EK$16</f>
        <v>0</v>
      </c>
      <c r="G28" s="355">
        <f>Input!$EL$16</f>
        <v>0</v>
      </c>
      <c r="H28" s="355">
        <f>Input!$EM$16</f>
        <v>0</v>
      </c>
      <c r="I28" s="355">
        <f>Input!$EN$16</f>
        <v>0</v>
      </c>
      <c r="J28" s="355">
        <f>Input!$EO$16</f>
        <v>0</v>
      </c>
      <c r="K28" s="355">
        <f>Input!$EP$16</f>
        <v>0</v>
      </c>
      <c r="L28" s="355">
        <f>Input!$EQ$16</f>
        <v>0</v>
      </c>
      <c r="M28" s="543">
        <f t="shared" si="3"/>
        <v>0</v>
      </c>
      <c r="O28" s="418" t="s">
        <v>1003</v>
      </c>
      <c r="Q28" s="425"/>
      <c r="R28" s="342">
        <f>SUM(M37:M41)</f>
        <v>0</v>
      </c>
      <c r="S28" s="540"/>
      <c r="U28" s="538" t="s">
        <v>1048</v>
      </c>
      <c r="V28" s="296"/>
      <c r="W28" s="296"/>
      <c r="X28" s="420">
        <f>(M27+M40)*-1</f>
        <v>0</v>
      </c>
      <c r="Y28" s="626"/>
      <c r="Z28" s="326"/>
    </row>
    <row r="29" spans="1:26" s="50" customFormat="1" ht="12" customHeight="1">
      <c r="A29" s="293"/>
      <c r="B29" s="551" t="s">
        <v>37</v>
      </c>
      <c r="C29" s="179"/>
      <c r="D29" s="356">
        <f t="shared" ref="D29:L29" si="4">SUM(D23:D28)</f>
        <v>683567</v>
      </c>
      <c r="E29" s="356">
        <f t="shared" si="4"/>
        <v>1109303</v>
      </c>
      <c r="F29" s="356">
        <f t="shared" si="4"/>
        <v>0</v>
      </c>
      <c r="G29" s="356">
        <f t="shared" si="4"/>
        <v>0</v>
      </c>
      <c r="H29" s="356">
        <f t="shared" si="4"/>
        <v>0</v>
      </c>
      <c r="I29" s="356">
        <f t="shared" si="4"/>
        <v>0</v>
      </c>
      <c r="J29" s="356">
        <f t="shared" si="4"/>
        <v>0</v>
      </c>
      <c r="K29" s="356">
        <f t="shared" si="4"/>
        <v>0</v>
      </c>
      <c r="L29" s="356">
        <f t="shared" si="4"/>
        <v>0</v>
      </c>
      <c r="M29" s="356">
        <f t="shared" si="3"/>
        <v>1792870</v>
      </c>
      <c r="O29" s="418"/>
      <c r="Q29" s="425"/>
      <c r="R29" s="426"/>
      <c r="S29" s="552"/>
      <c r="U29" s="538" t="s">
        <v>1049</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2256122</v>
      </c>
      <c r="R30" s="429">
        <f>R28+R24</f>
        <v>-9611</v>
      </c>
      <c r="S30" s="553"/>
      <c r="U30" s="621" t="s">
        <v>1050</v>
      </c>
      <c r="V30" s="221"/>
      <c r="W30" s="221"/>
      <c r="X30" s="625">
        <f>SUM(X28:X29)</f>
        <v>0</v>
      </c>
      <c r="Y30" s="626"/>
    </row>
    <row r="31" spans="1:26" s="50" customFormat="1" ht="12.75" customHeight="1">
      <c r="A31" s="293"/>
      <c r="B31" s="536" t="s">
        <v>1005</v>
      </c>
      <c r="C31" s="536"/>
      <c r="D31" s="356">
        <f t="shared" ref="D31:L31" si="5">D36-SUM(D32:D35)</f>
        <v>6600</v>
      </c>
      <c r="E31" s="356">
        <f t="shared" si="5"/>
        <v>347504</v>
      </c>
      <c r="F31" s="356">
        <f t="shared" si="5"/>
        <v>99537</v>
      </c>
      <c r="G31" s="356">
        <f t="shared" si="5"/>
        <v>0</v>
      </c>
      <c r="H31" s="356">
        <f t="shared" si="5"/>
        <v>0</v>
      </c>
      <c r="I31" s="356">
        <f t="shared" si="5"/>
        <v>0</v>
      </c>
      <c r="J31" s="356">
        <f t="shared" si="5"/>
        <v>0</v>
      </c>
      <c r="K31" s="356">
        <f t="shared" si="5"/>
        <v>0</v>
      </c>
      <c r="L31" s="356">
        <f t="shared" si="5"/>
        <v>0</v>
      </c>
      <c r="M31" s="356">
        <f t="shared" ref="M31:M42" si="6">D31+E31+F31+G31+H31+I31+J31+K31+L31</f>
        <v>453641</v>
      </c>
      <c r="O31" s="430" t="s">
        <v>217</v>
      </c>
      <c r="P31" s="305"/>
      <c r="Q31" s="349"/>
      <c r="R31" s="305"/>
      <c r="S31" s="540"/>
      <c r="U31" s="548" t="s">
        <v>1051</v>
      </c>
      <c r="V31" s="549"/>
      <c r="W31" s="549"/>
      <c r="X31" s="550">
        <f>X27+X30</f>
        <v>9611</v>
      </c>
      <c r="Y31" s="420"/>
      <c r="Z31" s="326"/>
    </row>
    <row r="32" spans="1:26" s="50" customFormat="1" ht="12.75" customHeight="1">
      <c r="A32" s="293"/>
      <c r="B32" s="51" t="s">
        <v>638</v>
      </c>
      <c r="C32" s="51"/>
      <c r="D32" s="355">
        <f>Input!$ER$16</f>
        <v>0</v>
      </c>
      <c r="E32" s="355">
        <f>Input!$ES$16</f>
        <v>0</v>
      </c>
      <c r="F32" s="355">
        <f>Input!$ET$16</f>
        <v>0</v>
      </c>
      <c r="G32" s="355">
        <f>Input!$EU$16</f>
        <v>0</v>
      </c>
      <c r="H32" s="355">
        <f>Input!$EV$16</f>
        <v>0</v>
      </c>
      <c r="I32" s="355">
        <f>Input!$EW$16</f>
        <v>0</v>
      </c>
      <c r="J32" s="355">
        <f>Input!$EX$16</f>
        <v>0</v>
      </c>
      <c r="K32" s="355">
        <f>Input!$EY$16</f>
        <v>0</v>
      </c>
      <c r="L32" s="355">
        <f>Input!$EZ$16</f>
        <v>0</v>
      </c>
      <c r="M32" s="543">
        <f t="shared" si="6"/>
        <v>0</v>
      </c>
      <c r="O32" s="431" t="s">
        <v>1245</v>
      </c>
      <c r="P32" s="432"/>
      <c r="Q32" s="433">
        <f>Input!$TI$16</f>
        <v>2256122</v>
      </c>
      <c r="R32" s="432"/>
      <c r="S32" s="554"/>
      <c r="U32" s="538"/>
      <c r="V32" s="296"/>
      <c r="W32" s="296"/>
      <c r="Y32" s="420"/>
      <c r="Z32" s="326"/>
    </row>
    <row r="33" spans="1:28" s="50" customFormat="1">
      <c r="A33" s="293"/>
      <c r="B33" s="51" t="s">
        <v>639</v>
      </c>
      <c r="C33" s="51"/>
      <c r="D33" s="355">
        <f>Input!$FA$16</f>
        <v>0</v>
      </c>
      <c r="E33" s="355">
        <f>Input!$FB$16</f>
        <v>0</v>
      </c>
      <c r="F33" s="355">
        <f>Input!$FC$16</f>
        <v>0</v>
      </c>
      <c r="G33" s="355">
        <f>Input!$FD$16</f>
        <v>0</v>
      </c>
      <c r="H33" s="355">
        <f>Input!$FE$16</f>
        <v>0</v>
      </c>
      <c r="I33" s="355">
        <f>Input!$FF$16</f>
        <v>0</v>
      </c>
      <c r="J33" s="355">
        <f>Input!$FG$16</f>
        <v>0</v>
      </c>
      <c r="K33" s="355">
        <f>Input!$FH$16</f>
        <v>0</v>
      </c>
      <c r="L33" s="355">
        <f>Input!$FI$16</f>
        <v>0</v>
      </c>
      <c r="M33" s="543">
        <f t="shared" si="6"/>
        <v>0</v>
      </c>
      <c r="O33" s="431"/>
      <c r="P33" s="432"/>
      <c r="Q33" s="342"/>
      <c r="R33" s="432"/>
      <c r="S33" s="554"/>
      <c r="U33" s="538" t="s">
        <v>1004</v>
      </c>
      <c r="V33" s="296"/>
      <c r="W33" s="296"/>
      <c r="X33" s="347">
        <f>(M19+M32)*-1</f>
        <v>152970</v>
      </c>
      <c r="Y33" s="420"/>
    </row>
    <row r="34" spans="1:28" s="50" customFormat="1">
      <c r="A34" s="293"/>
      <c r="B34" s="51" t="s">
        <v>640</v>
      </c>
      <c r="C34" s="51"/>
      <c r="D34" s="355">
        <f>Input!$FJ$16</f>
        <v>0</v>
      </c>
      <c r="E34" s="355">
        <f>Input!$FK$16</f>
        <v>0</v>
      </c>
      <c r="F34" s="355">
        <f>Input!$FL$16</f>
        <v>0</v>
      </c>
      <c r="G34" s="355">
        <f>Input!$FM$16</f>
        <v>0</v>
      </c>
      <c r="H34" s="355">
        <f>Input!$FN$16</f>
        <v>0</v>
      </c>
      <c r="I34" s="355">
        <f>Input!$FO$16</f>
        <v>0</v>
      </c>
      <c r="J34" s="355">
        <f>Input!$FP$16</f>
        <v>0</v>
      </c>
      <c r="K34" s="355">
        <f>Input!$FQ$16</f>
        <v>0</v>
      </c>
      <c r="L34" s="355">
        <f>Input!$FR$16</f>
        <v>0</v>
      </c>
      <c r="M34" s="543">
        <f t="shared" si="6"/>
        <v>0</v>
      </c>
      <c r="O34" s="434" t="s">
        <v>1246</v>
      </c>
      <c r="P34" s="435"/>
      <c r="Q34" s="50" t="s">
        <v>218</v>
      </c>
      <c r="R34" s="433">
        <f>Input!$TJ$16</f>
        <v>-9611</v>
      </c>
      <c r="S34" s="555"/>
      <c r="U34" s="538" t="s">
        <v>1052</v>
      </c>
      <c r="V34" s="296"/>
      <c r="W34" s="296"/>
      <c r="X34" s="426">
        <f>(M24+M37)*-1</f>
        <v>0</v>
      </c>
      <c r="Y34" s="420"/>
    </row>
    <row r="35" spans="1:28" s="50" customFormat="1" ht="13.5" thickBot="1">
      <c r="A35" s="293"/>
      <c r="B35" s="51" t="s">
        <v>641</v>
      </c>
      <c r="C35" s="51"/>
      <c r="D35" s="355">
        <f>Input!$FS$16</f>
        <v>0</v>
      </c>
      <c r="E35" s="355">
        <f>Input!$FT$16</f>
        <v>0</v>
      </c>
      <c r="F35" s="355">
        <f>Input!$FU$16</f>
        <v>0</v>
      </c>
      <c r="G35" s="355">
        <f>Input!$FV$16</f>
        <v>0</v>
      </c>
      <c r="H35" s="355">
        <f>Input!$FW$16</f>
        <v>0</v>
      </c>
      <c r="I35" s="355">
        <f>Input!$FX$16</f>
        <v>0</v>
      </c>
      <c r="J35" s="355">
        <f>Input!$FY$16</f>
        <v>0</v>
      </c>
      <c r="K35" s="355">
        <f>Input!$FZ$16</f>
        <v>0</v>
      </c>
      <c r="L35" s="355">
        <f>Input!$GA$16</f>
        <v>0</v>
      </c>
      <c r="M35" s="543">
        <f t="shared" si="6"/>
        <v>0</v>
      </c>
      <c r="O35" s="436" t="s">
        <v>219</v>
      </c>
      <c r="P35" s="437"/>
      <c r="Q35" s="438">
        <f>Q30-Q32</f>
        <v>0</v>
      </c>
      <c r="R35" s="439">
        <f>R30-R34</f>
        <v>0</v>
      </c>
      <c r="S35" s="556"/>
      <c r="U35" s="621" t="s">
        <v>1053</v>
      </c>
      <c r="V35" s="221"/>
      <c r="W35" s="221"/>
      <c r="X35" s="627">
        <f>SUM(X33:X34)</f>
        <v>152970</v>
      </c>
      <c r="Y35" s="626"/>
    </row>
    <row r="36" spans="1:28" s="50" customFormat="1" ht="13.5" thickTop="1">
      <c r="A36" s="293"/>
      <c r="B36" s="536" t="s">
        <v>648</v>
      </c>
      <c r="C36" s="179"/>
      <c r="D36" s="541">
        <f>Input!$GB$16</f>
        <v>6600</v>
      </c>
      <c r="E36" s="541">
        <f>Input!$GC$16</f>
        <v>347504</v>
      </c>
      <c r="F36" s="541">
        <f>Input!$GD$16</f>
        <v>99537</v>
      </c>
      <c r="G36" s="541">
        <f>Input!$GE$16</f>
        <v>0</v>
      </c>
      <c r="H36" s="541">
        <f>Input!$GF$16</f>
        <v>0</v>
      </c>
      <c r="I36" s="541">
        <f>Input!$GG$16</f>
        <v>0</v>
      </c>
      <c r="J36" s="541">
        <f>Input!$GH$16</f>
        <v>0</v>
      </c>
      <c r="K36" s="541">
        <f>Input!$GI$16</f>
        <v>0</v>
      </c>
      <c r="L36" s="541">
        <f>Input!$GJ$16</f>
        <v>0</v>
      </c>
      <c r="M36" s="542">
        <f t="shared" si="6"/>
        <v>453641</v>
      </c>
      <c r="O36" s="51"/>
      <c r="Q36" s="485" t="str">
        <f>IF(Q30&lt;&gt;Q32,"Out of Balance","Balanced")</f>
        <v>Balanced</v>
      </c>
      <c r="R36" s="485" t="str">
        <f>IF(R30&lt;&gt;R34,"Out of Balance","Balanced")</f>
        <v>Balanced</v>
      </c>
      <c r="U36" s="538" t="s">
        <v>1006</v>
      </c>
      <c r="V36" s="296"/>
      <c r="W36" s="296"/>
      <c r="X36" s="347">
        <f>(M20+M33)*-1</f>
        <v>0</v>
      </c>
      <c r="Y36" s="420"/>
    </row>
    <row r="37" spans="1:28" s="50" customFormat="1">
      <c r="A37" s="293"/>
      <c r="B37" s="51" t="s">
        <v>643</v>
      </c>
      <c r="C37" s="180"/>
      <c r="D37" s="355">
        <f>Input!$GK$16</f>
        <v>0</v>
      </c>
      <c r="E37" s="355">
        <f>Input!$GL$16</f>
        <v>0</v>
      </c>
      <c r="F37" s="355">
        <f>Input!$GM$16</f>
        <v>0</v>
      </c>
      <c r="G37" s="355">
        <f>Input!$GN$16</f>
        <v>0</v>
      </c>
      <c r="H37" s="355">
        <f>Input!$GO$16</f>
        <v>0</v>
      </c>
      <c r="I37" s="355">
        <f>Input!$GP$16</f>
        <v>0</v>
      </c>
      <c r="J37" s="355">
        <f>Input!$GQ$16</f>
        <v>0</v>
      </c>
      <c r="K37" s="355">
        <f>Input!$GR$16</f>
        <v>0</v>
      </c>
      <c r="L37" s="355">
        <f>Input!$GS$16</f>
        <v>0</v>
      </c>
      <c r="M37" s="543">
        <f t="shared" si="6"/>
        <v>0</v>
      </c>
      <c r="O37" s="51"/>
      <c r="U37" s="538" t="s">
        <v>1054</v>
      </c>
      <c r="V37" s="296"/>
      <c r="W37" s="296"/>
      <c r="X37" s="426">
        <f>(M25+M38)*-1</f>
        <v>0</v>
      </c>
      <c r="Y37" s="626"/>
    </row>
    <row r="38" spans="1:28" s="50" customFormat="1">
      <c r="A38" s="293"/>
      <c r="B38" s="51" t="s">
        <v>644</v>
      </c>
      <c r="C38" s="180"/>
      <c r="D38" s="355">
        <f>Input!$GT$16</f>
        <v>0</v>
      </c>
      <c r="E38" s="355">
        <f>Input!$GU$16</f>
        <v>0</v>
      </c>
      <c r="F38" s="355">
        <f>Input!$GV$16</f>
        <v>0</v>
      </c>
      <c r="G38" s="355">
        <f>Input!$GW$16</f>
        <v>0</v>
      </c>
      <c r="H38" s="355">
        <f>Input!$GX$16</f>
        <v>0</v>
      </c>
      <c r="I38" s="355">
        <f>Input!$GY$16</f>
        <v>0</v>
      </c>
      <c r="J38" s="355">
        <f>Input!$GZ$16</f>
        <v>0</v>
      </c>
      <c r="K38" s="355">
        <f>Input!$HA$16</f>
        <v>0</v>
      </c>
      <c r="L38" s="355">
        <f>Input!$HB$16</f>
        <v>0</v>
      </c>
      <c r="M38" s="543">
        <f t="shared" si="6"/>
        <v>0</v>
      </c>
      <c r="O38" s="51"/>
      <c r="U38" s="621" t="s">
        <v>1055</v>
      </c>
      <c r="V38" s="221"/>
      <c r="W38" s="221"/>
      <c r="X38" s="627">
        <f>SUM(X36:X37)</f>
        <v>0</v>
      </c>
      <c r="Y38" s="420"/>
    </row>
    <row r="39" spans="1:28" s="50" customFormat="1">
      <c r="A39" s="293"/>
      <c r="B39" s="51" t="s">
        <v>645</v>
      </c>
      <c r="C39" s="180"/>
      <c r="D39" s="355">
        <f>Input!$HC$16</f>
        <v>0</v>
      </c>
      <c r="E39" s="355">
        <f>Input!$HD$16</f>
        <v>0</v>
      </c>
      <c r="F39" s="355">
        <f>Input!$HE$16</f>
        <v>0</v>
      </c>
      <c r="G39" s="355">
        <f>Input!$HF$16</f>
        <v>0</v>
      </c>
      <c r="H39" s="355">
        <f>Input!$HG$16</f>
        <v>0</v>
      </c>
      <c r="I39" s="355">
        <f>Input!$HH$16</f>
        <v>0</v>
      </c>
      <c r="J39" s="355">
        <f>Input!$HI$16</f>
        <v>0</v>
      </c>
      <c r="K39" s="355">
        <f>Input!$HJ$16</f>
        <v>0</v>
      </c>
      <c r="L39" s="355">
        <f>Input!$HK$16</f>
        <v>0</v>
      </c>
      <c r="M39" s="543">
        <f t="shared" si="6"/>
        <v>0</v>
      </c>
      <c r="O39" s="51"/>
      <c r="U39" s="538" t="s">
        <v>1007</v>
      </c>
      <c r="V39" s="296"/>
      <c r="W39" s="296"/>
      <c r="X39" s="347"/>
      <c r="Y39" s="420">
        <f>X38+X35</f>
        <v>152970</v>
      </c>
    </row>
    <row r="40" spans="1:28" s="50" customFormat="1">
      <c r="A40" s="293"/>
      <c r="B40" s="51" t="s">
        <v>646</v>
      </c>
      <c r="C40" s="180"/>
      <c r="D40" s="355">
        <f>Input!$HL$16</f>
        <v>0</v>
      </c>
      <c r="E40" s="355">
        <f>Input!$HM$16</f>
        <v>0</v>
      </c>
      <c r="F40" s="355">
        <f>Input!$HN$16</f>
        <v>0</v>
      </c>
      <c r="G40" s="355">
        <f>Input!$HO$16</f>
        <v>0</v>
      </c>
      <c r="H40" s="355">
        <f>Input!$HP$16</f>
        <v>0</v>
      </c>
      <c r="I40" s="355">
        <f>Input!$HQ$16</f>
        <v>0</v>
      </c>
      <c r="J40" s="355">
        <f>Input!$HR$16</f>
        <v>0</v>
      </c>
      <c r="K40" s="355">
        <f>Input!$HS$16</f>
        <v>0</v>
      </c>
      <c r="L40" s="355">
        <f>Input!$HT$16</f>
        <v>0</v>
      </c>
      <c r="M40" s="543">
        <f t="shared" si="6"/>
        <v>0</v>
      </c>
      <c r="O40" s="51"/>
      <c r="U40" s="538"/>
      <c r="V40" s="51"/>
      <c r="W40" s="51"/>
      <c r="X40" s="51"/>
      <c r="Y40" s="626"/>
    </row>
    <row r="41" spans="1:28" s="50" customFormat="1">
      <c r="A41" s="293"/>
      <c r="B41" s="51" t="s">
        <v>1361</v>
      </c>
      <c r="C41" s="180"/>
      <c r="D41" s="355">
        <f>Input!$HU$16</f>
        <v>0</v>
      </c>
      <c r="E41" s="355">
        <f>Input!$HV$16</f>
        <v>0</v>
      </c>
      <c r="F41" s="355">
        <f>Input!$HW$16</f>
        <v>0</v>
      </c>
      <c r="G41" s="355">
        <f>Input!$HX$16</f>
        <v>0</v>
      </c>
      <c r="H41" s="355">
        <f>Input!$HY$16</f>
        <v>0</v>
      </c>
      <c r="I41" s="355">
        <f>Input!$HZ$16</f>
        <v>0</v>
      </c>
      <c r="J41" s="355">
        <f>Input!$IA$16</f>
        <v>0</v>
      </c>
      <c r="K41" s="355">
        <f>Input!$IB$16</f>
        <v>0</v>
      </c>
      <c r="L41" s="355">
        <f>Input!$IC$16</f>
        <v>0</v>
      </c>
      <c r="M41" s="543">
        <f t="shared" si="6"/>
        <v>0</v>
      </c>
      <c r="O41"/>
      <c r="P41"/>
      <c r="Q41"/>
      <c r="R41"/>
      <c r="S41"/>
      <c r="U41" s="538" t="s">
        <v>1046</v>
      </c>
      <c r="V41" s="296"/>
      <c r="W41" s="296"/>
      <c r="X41" s="326">
        <f>(M21+M34)*-1</f>
        <v>0</v>
      </c>
      <c r="Y41" s="420"/>
    </row>
    <row r="42" spans="1:28" s="50" customFormat="1">
      <c r="A42" s="293"/>
      <c r="B42" s="551" t="s">
        <v>38</v>
      </c>
      <c r="C42" s="179"/>
      <c r="D42" s="356">
        <f t="shared" ref="D42:L42" si="7">SUM(D36:D41)</f>
        <v>6600</v>
      </c>
      <c r="E42" s="356">
        <f t="shared" si="7"/>
        <v>347504</v>
      </c>
      <c r="F42" s="356">
        <f t="shared" si="7"/>
        <v>99537</v>
      </c>
      <c r="G42" s="356">
        <f t="shared" si="7"/>
        <v>0</v>
      </c>
      <c r="H42" s="356">
        <f t="shared" si="7"/>
        <v>0</v>
      </c>
      <c r="I42" s="356">
        <f t="shared" si="7"/>
        <v>0</v>
      </c>
      <c r="J42" s="356">
        <f t="shared" si="7"/>
        <v>0</v>
      </c>
      <c r="K42" s="356">
        <f t="shared" si="7"/>
        <v>0</v>
      </c>
      <c r="L42" s="356">
        <f t="shared" si="7"/>
        <v>0</v>
      </c>
      <c r="M42" s="356">
        <f t="shared" si="6"/>
        <v>453641</v>
      </c>
      <c r="O42"/>
      <c r="P42"/>
      <c r="Q42"/>
      <c r="R42"/>
      <c r="S42"/>
      <c r="U42" s="538" t="s">
        <v>1049</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1056</v>
      </c>
      <c r="V43" s="221"/>
      <c r="W43" s="221"/>
      <c r="X43" s="627">
        <f>SUM(X41:X42)</f>
        <v>0</v>
      </c>
      <c r="Y43" s="626"/>
    </row>
    <row r="44" spans="1:28" s="50" customFormat="1" ht="13.5" customHeight="1">
      <c r="A44" s="293"/>
      <c r="B44" s="551" t="s">
        <v>1008</v>
      </c>
      <c r="C44" s="179"/>
      <c r="D44" s="356">
        <f t="shared" ref="D44:L44" si="8">D42+D29</f>
        <v>690167</v>
      </c>
      <c r="E44" s="356">
        <f t="shared" si="8"/>
        <v>1456807</v>
      </c>
      <c r="F44" s="356">
        <f t="shared" si="8"/>
        <v>99537</v>
      </c>
      <c r="G44" s="356">
        <f t="shared" si="8"/>
        <v>0</v>
      </c>
      <c r="H44" s="356">
        <f t="shared" si="8"/>
        <v>0</v>
      </c>
      <c r="I44" s="356">
        <f t="shared" si="8"/>
        <v>0</v>
      </c>
      <c r="J44" s="356">
        <f t="shared" si="8"/>
        <v>0</v>
      </c>
      <c r="K44" s="356">
        <f t="shared" si="8"/>
        <v>0</v>
      </c>
      <c r="L44" s="356">
        <f t="shared" si="8"/>
        <v>0</v>
      </c>
      <c r="M44" s="356">
        <f>D44+E44+F44+G44+H44+I44+J44+K44+L44</f>
        <v>2246511</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1052</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1054</v>
      </c>
      <c r="V46" s="296"/>
      <c r="W46" s="296"/>
      <c r="X46" s="426">
        <f>(M25+M38)*-1</f>
        <v>0</v>
      </c>
      <c r="Y46" s="420"/>
    </row>
    <row r="47" spans="1:28" s="149" customFormat="1">
      <c r="A47" s="147">
        <v>30</v>
      </c>
      <c r="B47" s="158" t="s">
        <v>7</v>
      </c>
      <c r="C47" s="158"/>
      <c r="D47" s="358">
        <f>Input!$ID$16</f>
        <v>0</v>
      </c>
      <c r="E47" s="358">
        <f>Input!$IE$16</f>
        <v>0</v>
      </c>
      <c r="F47" s="358">
        <f>Input!$IF$16</f>
        <v>0</v>
      </c>
      <c r="G47" s="358">
        <f>Input!$IG$16</f>
        <v>4297754</v>
      </c>
      <c r="H47" s="358">
        <f>Input!$IH$16</f>
        <v>0</v>
      </c>
      <c r="I47" s="358">
        <f>Input!$II$16</f>
        <v>0</v>
      </c>
      <c r="J47" s="358">
        <f>Input!$IJ$16</f>
        <v>0</v>
      </c>
      <c r="K47" s="358">
        <f>Input!$IK$16</f>
        <v>0</v>
      </c>
      <c r="L47" s="358">
        <f>Input!$IL$16</f>
        <v>0</v>
      </c>
      <c r="M47" s="356">
        <f>D47+E47+F47+G47+H47+I47+J47+K47+L47</f>
        <v>4297754</v>
      </c>
      <c r="N47" s="50"/>
      <c r="O47" s="50"/>
      <c r="P47" s="50"/>
      <c r="Q47" s="50"/>
      <c r="U47" s="628" t="s">
        <v>1057</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2409092</v>
      </c>
      <c r="Z49" s="50"/>
      <c r="AA49" s="50"/>
      <c r="AB49" s="50"/>
    </row>
    <row r="50" spans="1:28" s="149" customFormat="1">
      <c r="A50" s="147">
        <v>33</v>
      </c>
      <c r="B50" s="158" t="s">
        <v>56</v>
      </c>
      <c r="C50" s="158"/>
      <c r="D50" s="358">
        <f>Input!$IM$16</f>
        <v>0</v>
      </c>
      <c r="E50" s="358">
        <f>Input!$IN$16</f>
        <v>4464325</v>
      </c>
      <c r="F50" s="358">
        <f>Input!$IO$16</f>
        <v>0</v>
      </c>
      <c r="G50" s="358">
        <f>Input!$IP$16</f>
        <v>0</v>
      </c>
      <c r="H50" s="358">
        <f>Input!$IQ$16</f>
        <v>0</v>
      </c>
      <c r="I50" s="358">
        <f>Input!$IR$16</f>
        <v>0</v>
      </c>
      <c r="J50" s="358">
        <f>Input!$IS$16</f>
        <v>0</v>
      </c>
      <c r="K50" s="358">
        <f>Input!$IT$16</f>
        <v>0</v>
      </c>
      <c r="L50" s="358">
        <f>Input!$IU$16</f>
        <v>0</v>
      </c>
      <c r="M50" s="356">
        <f>D50+E50+F50+G50+H50+I50+J50+K50+L50</f>
        <v>4464325</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Input!$IV$16</f>
        <v>0</v>
      </c>
      <c r="E53" s="358">
        <f>Input!$IW$16</f>
        <v>0</v>
      </c>
      <c r="F53" s="358">
        <f>Input!$IX$16</f>
        <v>0</v>
      </c>
      <c r="G53" s="358">
        <f>Input!$IY$16</f>
        <v>0</v>
      </c>
      <c r="H53" s="358">
        <f>Input!$IZ$16</f>
        <v>0</v>
      </c>
      <c r="I53" s="358">
        <f>Input!$JA$16</f>
        <v>0</v>
      </c>
      <c r="J53" s="358">
        <f>Input!$JB$16</f>
        <v>0</v>
      </c>
      <c r="K53" s="358">
        <f>Input!$JC$16</f>
        <v>0</v>
      </c>
      <c r="L53" s="358">
        <f>Input!$JD$16</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Input!$JE$16</f>
        <v>0</v>
      </c>
      <c r="E56" s="355">
        <f>Input!$JF$16</f>
        <v>1296917</v>
      </c>
      <c r="F56" s="355">
        <f>Input!$JG$16</f>
        <v>0</v>
      </c>
      <c r="G56" s="355">
        <f>Input!$JH$16</f>
        <v>88482</v>
      </c>
      <c r="H56" s="355">
        <f>Input!$JI$16</f>
        <v>0</v>
      </c>
      <c r="I56" s="355">
        <f>Input!$JJ$16</f>
        <v>-192</v>
      </c>
      <c r="J56" s="355">
        <f>Input!$JK$16</f>
        <v>0</v>
      </c>
      <c r="K56" s="355">
        <f>Input!$JL$16</f>
        <v>0</v>
      </c>
      <c r="L56" s="355">
        <f>Input!$JM$16</f>
        <v>0</v>
      </c>
      <c r="M56" s="357">
        <f t="shared" ref="M56:M62" si="9">D56+E56+F56+G56+H56+I56+J56+K56+L56</f>
        <v>1385207</v>
      </c>
      <c r="O56" s="51"/>
      <c r="P56" s="50"/>
      <c r="Q56" s="50"/>
      <c r="R56" s="50"/>
      <c r="S56" s="50"/>
      <c r="T56" s="50"/>
      <c r="U56" s="50"/>
      <c r="V56" s="50"/>
      <c r="W56" s="50"/>
      <c r="X56" s="306"/>
      <c r="Y56" s="50"/>
      <c r="Z56" s="50"/>
      <c r="AA56" s="50"/>
      <c r="AB56" s="50"/>
    </row>
    <row r="57" spans="1:28" s="149" customFormat="1">
      <c r="A57" s="147">
        <v>40</v>
      </c>
      <c r="B57" s="149" t="s">
        <v>9</v>
      </c>
      <c r="D57" s="355">
        <f>Input!$JN$16</f>
        <v>0</v>
      </c>
      <c r="E57" s="355">
        <f>Input!$JO$16</f>
        <v>26928876</v>
      </c>
      <c r="F57" s="355">
        <f>Input!$JP$16</f>
        <v>0</v>
      </c>
      <c r="G57" s="355">
        <f>Input!$JQ$16</f>
        <v>0</v>
      </c>
      <c r="H57" s="355">
        <f>Input!$JR$16</f>
        <v>0</v>
      </c>
      <c r="I57" s="355">
        <f>Input!$JS$16</f>
        <v>0</v>
      </c>
      <c r="J57" s="355">
        <f>Input!$JT$16</f>
        <v>0</v>
      </c>
      <c r="K57" s="355">
        <f>Input!$JU$16</f>
        <v>0</v>
      </c>
      <c r="L57" s="355">
        <f>Input!$JV$16</f>
        <v>0</v>
      </c>
      <c r="M57" s="357">
        <f t="shared" si="9"/>
        <v>26928876</v>
      </c>
      <c r="O57" s="50"/>
      <c r="P57" s="307"/>
      <c r="Q57" s="50"/>
      <c r="R57" s="50"/>
      <c r="S57" s="50"/>
      <c r="T57" s="50"/>
      <c r="U57" s="50"/>
      <c r="V57" s="50"/>
      <c r="W57" s="50"/>
      <c r="X57" s="50"/>
      <c r="Y57" s="50"/>
      <c r="Z57" s="50"/>
      <c r="AA57" s="50"/>
      <c r="AB57" s="50"/>
    </row>
    <row r="58" spans="1:28" s="149" customFormat="1">
      <c r="A58" s="147">
        <v>41</v>
      </c>
      <c r="B58" s="149" t="s">
        <v>10</v>
      </c>
      <c r="D58" s="355">
        <f>Input!$JW$16</f>
        <v>0</v>
      </c>
      <c r="E58" s="355">
        <f>Input!$JX$16</f>
        <v>340030</v>
      </c>
      <c r="F58" s="355">
        <f>Input!$JY$16</f>
        <v>0</v>
      </c>
      <c r="G58" s="355">
        <f>Input!$JZ$16</f>
        <v>3807164</v>
      </c>
      <c r="H58" s="355">
        <f>Input!$KA$16</f>
        <v>0</v>
      </c>
      <c r="I58" s="355">
        <f>Input!$KB$16</f>
        <v>0</v>
      </c>
      <c r="J58" s="355">
        <f>Input!$KC$16</f>
        <v>0</v>
      </c>
      <c r="K58" s="355">
        <f>Input!$KD$16</f>
        <v>0</v>
      </c>
      <c r="L58" s="355">
        <f>Input!$KE$16</f>
        <v>0</v>
      </c>
      <c r="M58" s="357">
        <f t="shared" si="9"/>
        <v>4147194</v>
      </c>
      <c r="O58" s="302"/>
      <c r="P58" s="50"/>
      <c r="Q58" s="50"/>
      <c r="R58" s="50"/>
      <c r="S58" s="50"/>
      <c r="T58" s="50"/>
      <c r="U58" s="50"/>
      <c r="V58" s="50"/>
      <c r="W58" s="50"/>
      <c r="X58" s="50"/>
      <c r="Y58" s="50"/>
      <c r="Z58" s="50"/>
      <c r="AA58" s="50"/>
      <c r="AB58" s="50"/>
    </row>
    <row r="59" spans="1:28" s="149" customFormat="1" ht="13.5" thickBot="1">
      <c r="A59" s="147">
        <v>42</v>
      </c>
      <c r="B59" s="149" t="s">
        <v>54</v>
      </c>
      <c r="D59" s="355">
        <f>Input!$KF$16</f>
        <v>0</v>
      </c>
      <c r="E59" s="355">
        <f>Input!$KG$16</f>
        <v>27769</v>
      </c>
      <c r="F59" s="355">
        <f>Input!$KH$16</f>
        <v>0</v>
      </c>
      <c r="G59" s="355">
        <f>Input!$KI$16</f>
        <v>225424</v>
      </c>
      <c r="H59" s="355">
        <f>Input!$KJ$16</f>
        <v>0</v>
      </c>
      <c r="I59" s="355">
        <f>Input!$KK$16</f>
        <v>0</v>
      </c>
      <c r="J59" s="355">
        <f>Input!$KL$16</f>
        <v>0</v>
      </c>
      <c r="K59" s="355">
        <f>Input!$KM$16</f>
        <v>0</v>
      </c>
      <c r="L59" s="355">
        <f>Input!$KN$16</f>
        <v>0</v>
      </c>
      <c r="M59" s="357">
        <f t="shared" si="9"/>
        <v>253193</v>
      </c>
      <c r="O59" s="302"/>
      <c r="P59" s="50"/>
      <c r="Q59" s="50"/>
      <c r="R59" s="50"/>
      <c r="S59" s="50"/>
      <c r="T59" s="50"/>
      <c r="U59" s="50"/>
      <c r="V59" s="50"/>
      <c r="W59" s="50"/>
      <c r="X59" s="50"/>
      <c r="Y59" s="50"/>
      <c r="Z59" s="50"/>
      <c r="AA59" s="50"/>
      <c r="AB59" s="50"/>
    </row>
    <row r="60" spans="1:28" s="149" customFormat="1" ht="16.5" thickTop="1" thickBot="1">
      <c r="A60" s="147">
        <v>43</v>
      </c>
      <c r="B60" s="159" t="s">
        <v>1362</v>
      </c>
      <c r="C60" s="159"/>
      <c r="D60" s="355">
        <f>Input!$KO$16</f>
        <v>0</v>
      </c>
      <c r="E60" s="355">
        <f>Input!$KP$16</f>
        <v>0</v>
      </c>
      <c r="F60" s="355">
        <f>Input!$KQ$16</f>
        <v>0</v>
      </c>
      <c r="G60" s="355">
        <f>Input!$KR$16</f>
        <v>0</v>
      </c>
      <c r="H60" s="355">
        <f>Input!$KS$16</f>
        <v>0</v>
      </c>
      <c r="I60" s="355">
        <f>Input!$KT$16</f>
        <v>0</v>
      </c>
      <c r="J60" s="355">
        <f>Input!$KU$16</f>
        <v>0</v>
      </c>
      <c r="K60" s="355">
        <f>Input!$KV$16</f>
        <v>0</v>
      </c>
      <c r="L60" s="355">
        <f>Input!$KW$16</f>
        <v>0</v>
      </c>
      <c r="M60" s="357">
        <f t="shared" si="9"/>
        <v>0</v>
      </c>
      <c r="O60" s="1315" t="s">
        <v>177</v>
      </c>
      <c r="P60" s="1316"/>
      <c r="Q60" s="1317"/>
      <c r="R60" s="1317"/>
      <c r="S60" s="1318"/>
      <c r="T60" s="308"/>
      <c r="U60" s="493"/>
      <c r="V60" s="308"/>
      <c r="W60" s="1288" t="s">
        <v>1241</v>
      </c>
      <c r="X60" s="1289"/>
      <c r="Y60" s="1290"/>
      <c r="Z60" s="309"/>
      <c r="AA60" s="309"/>
      <c r="AB60" s="309"/>
    </row>
    <row r="61" spans="1:28" s="149" customFormat="1" ht="13.5" thickTop="1">
      <c r="A61" s="147">
        <v>44</v>
      </c>
      <c r="B61" s="149" t="s">
        <v>41</v>
      </c>
      <c r="D61" s="355">
        <f>Input!$KX$16</f>
        <v>0</v>
      </c>
      <c r="E61" s="355">
        <f>Input!$KY$16</f>
        <v>12499088</v>
      </c>
      <c r="F61" s="355">
        <f>Input!$KZ$16</f>
        <v>0</v>
      </c>
      <c r="G61" s="355">
        <f>Input!$LA$16</f>
        <v>37500</v>
      </c>
      <c r="H61" s="355">
        <f>Input!$LB$16</f>
        <v>0</v>
      </c>
      <c r="I61" s="355">
        <f>Input!$LC$16</f>
        <v>0</v>
      </c>
      <c r="J61" s="355">
        <f>Input!$LD$16</f>
        <v>0</v>
      </c>
      <c r="K61" s="355">
        <f>Input!$LE$16</f>
        <v>0</v>
      </c>
      <c r="L61" s="355">
        <f>Input!$LF$16</f>
        <v>0</v>
      </c>
      <c r="M61" s="357">
        <f t="shared" si="9"/>
        <v>12536588</v>
      </c>
      <c r="O61" s="1301" t="s">
        <v>178</v>
      </c>
      <c r="P61" s="1304" t="s">
        <v>179</v>
      </c>
      <c r="Q61" s="1307" t="s">
        <v>180</v>
      </c>
      <c r="R61" s="1307" t="s">
        <v>181</v>
      </c>
      <c r="S61" s="1319" t="s">
        <v>1256</v>
      </c>
      <c r="T61" s="308"/>
      <c r="U61" s="1285" t="s">
        <v>618</v>
      </c>
      <c r="V61" s="308"/>
      <c r="W61" s="1298" t="s">
        <v>1242</v>
      </c>
      <c r="X61" s="1291" t="s">
        <v>1243</v>
      </c>
      <c r="Y61" s="1293" t="s">
        <v>183</v>
      </c>
      <c r="Z61" s="306"/>
      <c r="AA61" s="306"/>
      <c r="AB61" s="306"/>
    </row>
    <row r="62" spans="1:28" s="149" customFormat="1">
      <c r="A62" s="147">
        <v>45</v>
      </c>
      <c r="B62" s="158" t="s">
        <v>3</v>
      </c>
      <c r="C62" s="158"/>
      <c r="D62" s="356">
        <f t="shared" ref="D62:L62" si="10">SUM(D56:D61)</f>
        <v>0</v>
      </c>
      <c r="E62" s="356">
        <f t="shared" si="10"/>
        <v>41092680</v>
      </c>
      <c r="F62" s="356">
        <f t="shared" si="10"/>
        <v>0</v>
      </c>
      <c r="G62" s="356">
        <f t="shared" si="10"/>
        <v>4158570</v>
      </c>
      <c r="H62" s="356">
        <f t="shared" si="10"/>
        <v>0</v>
      </c>
      <c r="I62" s="356">
        <f t="shared" si="10"/>
        <v>-192</v>
      </c>
      <c r="J62" s="356">
        <f t="shared" si="10"/>
        <v>0</v>
      </c>
      <c r="K62" s="356">
        <f t="shared" si="10"/>
        <v>0</v>
      </c>
      <c r="L62" s="356">
        <f t="shared" si="10"/>
        <v>0</v>
      </c>
      <c r="M62" s="356">
        <f t="shared" si="9"/>
        <v>45251058</v>
      </c>
      <c r="O62" s="1302"/>
      <c r="P62" s="1305"/>
      <c r="Q62" s="1305"/>
      <c r="R62" s="1305"/>
      <c r="S62" s="1320"/>
      <c r="T62" s="308"/>
      <c r="U62" s="1286"/>
      <c r="V62" s="308"/>
      <c r="W62" s="1299"/>
      <c r="X62" s="1291"/>
      <c r="Y62" s="1293"/>
      <c r="Z62" s="306"/>
      <c r="AA62" s="306"/>
      <c r="AB62" s="306"/>
    </row>
    <row r="63" spans="1:28" s="149" customFormat="1">
      <c r="A63" s="147">
        <v>46</v>
      </c>
      <c r="B63" s="160" t="s">
        <v>71</v>
      </c>
      <c r="C63" s="160"/>
      <c r="D63" s="356">
        <f>D15+D44+D47+D50+D53+D62</f>
        <v>30018913</v>
      </c>
      <c r="E63" s="356">
        <f t="shared" ref="E63:M63" si="11">E15+E44+E47+E50+E53+E62</f>
        <v>47013812</v>
      </c>
      <c r="F63" s="356">
        <f t="shared" si="11"/>
        <v>99537</v>
      </c>
      <c r="G63" s="356">
        <f t="shared" si="11"/>
        <v>8456324</v>
      </c>
      <c r="H63" s="356">
        <f t="shared" si="11"/>
        <v>0</v>
      </c>
      <c r="I63" s="356">
        <f t="shared" si="11"/>
        <v>-192</v>
      </c>
      <c r="J63" s="356">
        <f t="shared" si="11"/>
        <v>0</v>
      </c>
      <c r="K63" s="356">
        <f t="shared" si="11"/>
        <v>0</v>
      </c>
      <c r="L63" s="356">
        <f t="shared" si="11"/>
        <v>0</v>
      </c>
      <c r="M63" s="356">
        <f t="shared" si="11"/>
        <v>85588394</v>
      </c>
      <c r="O63" s="1302"/>
      <c r="P63" s="1305"/>
      <c r="Q63" s="1305"/>
      <c r="R63" s="1305"/>
      <c r="S63" s="1320"/>
      <c r="T63" s="308"/>
      <c r="U63" s="1286"/>
      <c r="V63" s="308"/>
      <c r="W63" s="1299"/>
      <c r="X63" s="1291"/>
      <c r="Y63" s="1293"/>
      <c r="Z63" s="306"/>
      <c r="AA63" s="306"/>
      <c r="AB63" s="306"/>
    </row>
    <row r="64" spans="1:28" s="149" customFormat="1" ht="19.5" customHeight="1" thickBot="1">
      <c r="A64" s="147"/>
      <c r="B64" s="153" t="s">
        <v>75</v>
      </c>
      <c r="C64" s="153"/>
      <c r="D64" s="356"/>
      <c r="E64" s="356"/>
      <c r="F64" s="356"/>
      <c r="G64" s="1272" t="str">
        <f>IF(R98&lt;&gt;0,"Do not Enter Cents - Whole Dollars Only","")</f>
        <v/>
      </c>
      <c r="H64" s="1272"/>
      <c r="I64" s="1272"/>
      <c r="J64" s="1272"/>
      <c r="K64" s="1272"/>
      <c r="L64" s="356"/>
      <c r="M64" s="356"/>
      <c r="O64" s="1303"/>
      <c r="P64" s="1306"/>
      <c r="Q64" s="1306"/>
      <c r="R64" s="1306"/>
      <c r="S64" s="1321"/>
      <c r="T64" s="308"/>
      <c r="U64" s="1287"/>
      <c r="V64" s="308"/>
      <c r="W64" s="1300"/>
      <c r="X64" s="1292"/>
      <c r="Y64" s="1294"/>
      <c r="Z64" s="306"/>
      <c r="AA64" s="306"/>
      <c r="AB64" s="306"/>
    </row>
    <row r="65" spans="1:28" s="149" customFormat="1" ht="13.5" customHeight="1" thickTop="1" thickBot="1">
      <c r="A65" s="147">
        <v>48</v>
      </c>
      <c r="B65" s="161" t="s">
        <v>14</v>
      </c>
      <c r="C65" s="161"/>
      <c r="D65" s="355">
        <f>Input!$LG$16</f>
        <v>14076861</v>
      </c>
      <c r="E65" s="355">
        <f>Input!$LH$16</f>
        <v>2891437</v>
      </c>
      <c r="F65" s="355">
        <f>Input!$LI$16</f>
        <v>0</v>
      </c>
      <c r="G65" s="355">
        <f>Input!$LJ$16</f>
        <v>758650</v>
      </c>
      <c r="H65" s="355">
        <f>Input!$LK$16</f>
        <v>0</v>
      </c>
      <c r="I65" s="355">
        <f>Input!$LL$16</f>
        <v>0</v>
      </c>
      <c r="J65" s="355">
        <f>Input!$LM$16</f>
        <v>0</v>
      </c>
      <c r="K65" s="355">
        <f>Input!$LN$16</f>
        <v>0</v>
      </c>
      <c r="L65" s="355">
        <f>Input!$LO$16</f>
        <v>0</v>
      </c>
      <c r="M65" s="357">
        <f t="shared" ref="M65:M77" si="12">D65+E65+F65+G65+H65+I65+J65+K65+L65</f>
        <v>17726948</v>
      </c>
      <c r="O65" s="310">
        <f>D65+E65+G65</f>
        <v>17726948</v>
      </c>
      <c r="P65" s="311">
        <f>Input!$TK$16</f>
        <v>0</v>
      </c>
      <c r="Q65" s="311">
        <f>Input!$TU$16</f>
        <v>0</v>
      </c>
      <c r="R65" s="311">
        <f>Input!$UD$16</f>
        <v>0</v>
      </c>
      <c r="S65" s="312">
        <f>O65+P65-Q65-R65</f>
        <v>17726948</v>
      </c>
      <c r="T65" s="313"/>
      <c r="U65" s="494">
        <f>D65+E65+F65+G65+J65</f>
        <v>17726948</v>
      </c>
      <c r="V65" s="313"/>
      <c r="W65" s="314" t="s">
        <v>14</v>
      </c>
      <c r="X65" s="487">
        <f>Input!$UO$16</f>
        <v>17726948</v>
      </c>
      <c r="Y65" s="315">
        <f t="shared" ref="Y65:Y74" si="13">X65-M65</f>
        <v>0</v>
      </c>
      <c r="Z65" s="313"/>
      <c r="AA65" s="313"/>
      <c r="AB65" s="313"/>
    </row>
    <row r="66" spans="1:28" s="149" customFormat="1" ht="14.25" thickTop="1" thickBot="1">
      <c r="A66" s="147">
        <v>49</v>
      </c>
      <c r="B66" s="161" t="s">
        <v>15</v>
      </c>
      <c r="C66" s="161"/>
      <c r="D66" s="355">
        <f>Input!$LP$16</f>
        <v>3557234</v>
      </c>
      <c r="E66" s="355">
        <f>Input!$LQ$16</f>
        <v>2455033</v>
      </c>
      <c r="F66" s="355">
        <f>Input!$LR$16</f>
        <v>0</v>
      </c>
      <c r="G66" s="355">
        <f>Input!$LS$16</f>
        <v>3747084</v>
      </c>
      <c r="H66" s="355">
        <f>Input!$LT$16</f>
        <v>0</v>
      </c>
      <c r="I66" s="355">
        <f>Input!$LU$16</f>
        <v>0</v>
      </c>
      <c r="J66" s="355">
        <f>Input!$LV$16</f>
        <v>0</v>
      </c>
      <c r="K66" s="355">
        <f>Input!$LW$16</f>
        <v>0</v>
      </c>
      <c r="L66" s="355">
        <f>Input!$LX$16</f>
        <v>0</v>
      </c>
      <c r="M66" s="357">
        <f t="shared" si="12"/>
        <v>9759351</v>
      </c>
      <c r="O66" s="316">
        <f t="shared" ref="O66:O72" si="14">D66+E66+G66</f>
        <v>9759351</v>
      </c>
      <c r="P66" s="317">
        <f>Input!$TL$16</f>
        <v>0</v>
      </c>
      <c r="Q66" s="317">
        <f>Input!$TV$16</f>
        <v>201174</v>
      </c>
      <c r="R66" s="317">
        <f>Input!$UE$16</f>
        <v>0</v>
      </c>
      <c r="S66" s="318">
        <f>O66+P66-Q66-R66</f>
        <v>9558177</v>
      </c>
      <c r="T66" s="313"/>
      <c r="U66" s="495">
        <f t="shared" ref="U66:U76" si="15">D66+E66+F66+G66+J66</f>
        <v>9759351</v>
      </c>
      <c r="V66" s="313"/>
      <c r="W66" s="314" t="s">
        <v>15</v>
      </c>
      <c r="X66" s="363">
        <f>Input!$UP$16</f>
        <v>9759351</v>
      </c>
      <c r="Y66" s="319">
        <f t="shared" si="13"/>
        <v>0</v>
      </c>
      <c r="Z66" s="320"/>
      <c r="AA66" s="320"/>
      <c r="AB66" s="320"/>
    </row>
    <row r="67" spans="1:28" s="149" customFormat="1" ht="13.5" thickTop="1">
      <c r="A67" s="147">
        <v>50</v>
      </c>
      <c r="B67" s="161" t="s">
        <v>16</v>
      </c>
      <c r="C67" s="161"/>
      <c r="D67" s="355">
        <f>Input!$LY$16</f>
        <v>207203</v>
      </c>
      <c r="E67" s="355">
        <f>Input!$LZ$16</f>
        <v>5354</v>
      </c>
      <c r="F67" s="355">
        <f>Input!$MA$16</f>
        <v>0</v>
      </c>
      <c r="G67" s="355">
        <f>Input!$MB$16</f>
        <v>2570467</v>
      </c>
      <c r="H67" s="355">
        <f>Input!$MC$16</f>
        <v>0</v>
      </c>
      <c r="I67" s="355">
        <f>Input!$MD$16</f>
        <v>0</v>
      </c>
      <c r="J67" s="355">
        <f>Input!$ME$16</f>
        <v>0</v>
      </c>
      <c r="K67" s="355">
        <f>Input!$MF$16</f>
        <v>0</v>
      </c>
      <c r="L67" s="355">
        <f>Input!$MG$16</f>
        <v>0</v>
      </c>
      <c r="M67" s="357">
        <f t="shared" si="12"/>
        <v>2783024</v>
      </c>
      <c r="O67" s="316">
        <f t="shared" si="14"/>
        <v>2783024</v>
      </c>
      <c r="P67" s="317">
        <f>Input!$TM$16</f>
        <v>68255</v>
      </c>
      <c r="Q67" s="317">
        <f>Input!$TW$16</f>
        <v>0</v>
      </c>
      <c r="R67" s="317">
        <f>Input!$UF$16</f>
        <v>0</v>
      </c>
      <c r="S67" s="321">
        <f t="shared" ref="S67:S72" si="16">O67+P67-Q67-R67</f>
        <v>2851279</v>
      </c>
      <c r="T67" s="320"/>
      <c r="U67" s="495">
        <f t="shared" si="15"/>
        <v>2783024</v>
      </c>
      <c r="V67" s="320"/>
      <c r="W67" s="314" t="s">
        <v>16</v>
      </c>
      <c r="X67" s="363">
        <f>Input!$UQ$16</f>
        <v>2783024</v>
      </c>
      <c r="Y67" s="319">
        <f t="shared" si="13"/>
        <v>0</v>
      </c>
      <c r="Z67" s="320"/>
      <c r="AA67" s="320"/>
      <c r="AB67" s="320"/>
    </row>
    <row r="68" spans="1:28" s="149" customFormat="1">
      <c r="A68" s="147">
        <v>51</v>
      </c>
      <c r="B68" s="161" t="s">
        <v>55</v>
      </c>
      <c r="C68" s="161"/>
      <c r="D68" s="355">
        <f>Input!$MH$16</f>
        <v>1263068</v>
      </c>
      <c r="E68" s="355">
        <f>Input!$MI$16</f>
        <v>24233914</v>
      </c>
      <c r="F68" s="355">
        <f>Input!$MJ$16</f>
        <v>0</v>
      </c>
      <c r="G68" s="355">
        <f>Input!$MK$16</f>
        <v>832275</v>
      </c>
      <c r="H68" s="355">
        <f>Input!$ML$16</f>
        <v>0</v>
      </c>
      <c r="I68" s="355">
        <f>Input!$MM$16</f>
        <v>0</v>
      </c>
      <c r="J68" s="355">
        <f>Input!$MN$16</f>
        <v>0</v>
      </c>
      <c r="K68" s="355">
        <f>Input!$MO$16</f>
        <v>0</v>
      </c>
      <c r="L68" s="355">
        <f>Input!$MP$16</f>
        <v>0</v>
      </c>
      <c r="M68" s="357">
        <f t="shared" si="12"/>
        <v>26329257</v>
      </c>
      <c r="O68" s="316">
        <f t="shared" si="14"/>
        <v>26329257</v>
      </c>
      <c r="P68" s="317">
        <f>Input!$TN$16</f>
        <v>35165</v>
      </c>
      <c r="Q68" s="317">
        <f>Input!$TX$16</f>
        <v>0</v>
      </c>
      <c r="R68" s="317">
        <f>Input!$UG$16</f>
        <v>0</v>
      </c>
      <c r="S68" s="321">
        <f t="shared" si="16"/>
        <v>26364422</v>
      </c>
      <c r="T68" s="320"/>
      <c r="U68" s="495">
        <f t="shared" si="15"/>
        <v>26329257</v>
      </c>
      <c r="V68" s="320"/>
      <c r="W68" s="314" t="s">
        <v>55</v>
      </c>
      <c r="X68" s="363">
        <f>Input!$UR$16</f>
        <v>26329257</v>
      </c>
      <c r="Y68" s="319">
        <f t="shared" si="13"/>
        <v>0</v>
      </c>
      <c r="Z68" s="320"/>
      <c r="AA68" s="320"/>
      <c r="AB68" s="320"/>
    </row>
    <row r="69" spans="1:28" s="149" customFormat="1">
      <c r="A69" s="147">
        <v>52</v>
      </c>
      <c r="B69" s="161" t="s">
        <v>17</v>
      </c>
      <c r="C69" s="161"/>
      <c r="D69" s="355">
        <f>Input!$MQ$16</f>
        <v>9097296</v>
      </c>
      <c r="E69" s="355">
        <f>Input!$MR$16</f>
        <v>548724</v>
      </c>
      <c r="F69" s="355">
        <f>Input!$MS$16</f>
        <v>0</v>
      </c>
      <c r="G69" s="355">
        <f>Input!$MT$16</f>
        <v>383440</v>
      </c>
      <c r="H69" s="355">
        <f>Input!$MU$16</f>
        <v>0</v>
      </c>
      <c r="I69" s="355">
        <f>Input!$MV$16</f>
        <v>0</v>
      </c>
      <c r="J69" s="355">
        <f>Input!$MW$16</f>
        <v>0</v>
      </c>
      <c r="K69" s="355">
        <f>Input!$MX$16</f>
        <v>0</v>
      </c>
      <c r="L69" s="355">
        <f>Input!$MY$16</f>
        <v>0</v>
      </c>
      <c r="M69" s="357">
        <f t="shared" si="12"/>
        <v>10029460</v>
      </c>
      <c r="O69" s="316">
        <f t="shared" si="14"/>
        <v>10029460</v>
      </c>
      <c r="P69" s="317">
        <f>Input!$TO$16</f>
        <v>203968</v>
      </c>
      <c r="Q69" s="317">
        <f>Input!$TY$16</f>
        <v>0</v>
      </c>
      <c r="R69" s="317">
        <f>Input!$UH$16</f>
        <v>0</v>
      </c>
      <c r="S69" s="321">
        <f t="shared" si="16"/>
        <v>10233428</v>
      </c>
      <c r="T69" s="320"/>
      <c r="U69" s="495">
        <f t="shared" si="15"/>
        <v>10029460</v>
      </c>
      <c r="V69" s="320"/>
      <c r="W69" s="314" t="s">
        <v>17</v>
      </c>
      <c r="X69" s="363">
        <f>Input!$US$16</f>
        <v>10029460</v>
      </c>
      <c r="Y69" s="319">
        <f t="shared" si="13"/>
        <v>0</v>
      </c>
      <c r="Z69" s="320"/>
      <c r="AA69" s="320"/>
      <c r="AB69" s="320"/>
    </row>
    <row r="70" spans="1:28" s="149" customFormat="1">
      <c r="A70" s="147">
        <v>53</v>
      </c>
      <c r="B70" s="161" t="s">
        <v>18</v>
      </c>
      <c r="C70" s="161"/>
      <c r="D70" s="355">
        <f>Input!$MZ$16</f>
        <v>941975</v>
      </c>
      <c r="E70" s="355">
        <f>Input!$NA$16</f>
        <v>220371</v>
      </c>
      <c r="F70" s="355">
        <f>Input!$NB$16</f>
        <v>0</v>
      </c>
      <c r="G70" s="355">
        <f>Input!$NC$16</f>
        <v>911918</v>
      </c>
      <c r="H70" s="355">
        <f>Input!$ND$16</f>
        <v>0</v>
      </c>
      <c r="I70" s="355">
        <f>Input!$NE$16</f>
        <v>0</v>
      </c>
      <c r="J70" s="355">
        <f>Input!$NF$16</f>
        <v>0</v>
      </c>
      <c r="K70" s="355">
        <f>Input!$NG$16</f>
        <v>0</v>
      </c>
      <c r="L70" s="355">
        <f>Input!$NH$16</f>
        <v>0</v>
      </c>
      <c r="M70" s="357">
        <f t="shared" si="12"/>
        <v>2074264</v>
      </c>
      <c r="O70" s="316">
        <f t="shared" si="14"/>
        <v>2074264</v>
      </c>
      <c r="P70" s="317">
        <f>Input!$TP$16</f>
        <v>0</v>
      </c>
      <c r="Q70" s="317">
        <f>Input!$TZ$16</f>
        <v>0</v>
      </c>
      <c r="R70" s="317">
        <f>Input!$UI$16</f>
        <v>0</v>
      </c>
      <c r="S70" s="321">
        <f t="shared" si="16"/>
        <v>2074264</v>
      </c>
      <c r="T70" s="320"/>
      <c r="U70" s="495">
        <f t="shared" si="15"/>
        <v>2074264</v>
      </c>
      <c r="V70" s="320"/>
      <c r="W70" s="314" t="s">
        <v>18</v>
      </c>
      <c r="X70" s="363">
        <f>Input!$UT$16</f>
        <v>2074264</v>
      </c>
      <c r="Y70" s="319">
        <f t="shared" si="13"/>
        <v>0</v>
      </c>
      <c r="Z70" s="320"/>
      <c r="AA70" s="320"/>
      <c r="AB70" s="320"/>
    </row>
    <row r="71" spans="1:28" s="149" customFormat="1">
      <c r="A71" s="147">
        <v>54</v>
      </c>
      <c r="B71" s="161" t="s">
        <v>19</v>
      </c>
      <c r="C71" s="161"/>
      <c r="D71" s="355">
        <f>Input!$NI$16</f>
        <v>2902758</v>
      </c>
      <c r="E71" s="355">
        <f>Input!$NJ$16</f>
        <v>500565</v>
      </c>
      <c r="F71" s="355">
        <f>Input!$NK$16</f>
        <v>0</v>
      </c>
      <c r="G71" s="355">
        <f>Input!$NL$16</f>
        <v>1068152</v>
      </c>
      <c r="H71" s="355">
        <f>Input!$NM$16</f>
        <v>0</v>
      </c>
      <c r="I71" s="355">
        <f>Input!$NN$16</f>
        <v>0</v>
      </c>
      <c r="J71" s="355">
        <f>Input!$NO$16</f>
        <v>0</v>
      </c>
      <c r="K71" s="355">
        <f>Input!$NP$16</f>
        <v>0</v>
      </c>
      <c r="L71" s="355">
        <f>Input!$NQ$16</f>
        <v>0</v>
      </c>
      <c r="M71" s="357">
        <f t="shared" si="12"/>
        <v>4471475</v>
      </c>
      <c r="O71" s="316">
        <f t="shared" si="14"/>
        <v>4471475</v>
      </c>
      <c r="P71" s="317">
        <f>Input!$TQ$16</f>
        <v>0</v>
      </c>
      <c r="Q71" s="317">
        <f>Input!$UA$16</f>
        <v>0</v>
      </c>
      <c r="R71" s="317">
        <f>Input!$UJ$16</f>
        <v>0</v>
      </c>
      <c r="S71" s="321">
        <f t="shared" si="16"/>
        <v>4471475</v>
      </c>
      <c r="T71" s="320"/>
      <c r="U71" s="495">
        <f t="shared" si="15"/>
        <v>4471475</v>
      </c>
      <c r="V71" s="320"/>
      <c r="W71" s="314" t="s">
        <v>19</v>
      </c>
      <c r="X71" s="363">
        <f>Input!$UU$16</f>
        <v>4471475</v>
      </c>
      <c r="Y71" s="319">
        <f t="shared" si="13"/>
        <v>0</v>
      </c>
      <c r="Z71" s="320"/>
      <c r="AA71" s="320"/>
      <c r="AB71" s="320"/>
    </row>
    <row r="72" spans="1:28" s="149" customFormat="1">
      <c r="A72" s="147">
        <v>55</v>
      </c>
      <c r="B72" s="161" t="s">
        <v>20</v>
      </c>
      <c r="C72" s="161"/>
      <c r="D72" s="355">
        <f>Input!$NR$16</f>
        <v>2432992</v>
      </c>
      <c r="E72" s="355">
        <f>Input!$NS$16</f>
        <v>460055</v>
      </c>
      <c r="F72" s="355">
        <f>Input!$NT$16</f>
        <v>0</v>
      </c>
      <c r="G72" s="355">
        <f>Input!$NU$16</f>
        <v>0</v>
      </c>
      <c r="H72" s="355">
        <f>Input!$NV$16</f>
        <v>0</v>
      </c>
      <c r="I72" s="355">
        <f>Input!$NW$16</f>
        <v>0</v>
      </c>
      <c r="J72" s="355">
        <f>Input!$NX$16</f>
        <v>1205589</v>
      </c>
      <c r="K72" s="355">
        <f>Input!$NY$16</f>
        <v>0</v>
      </c>
      <c r="L72" s="355">
        <f>Input!$NZ$16</f>
        <v>0</v>
      </c>
      <c r="M72" s="357">
        <f t="shared" si="12"/>
        <v>4098636</v>
      </c>
      <c r="O72" s="316">
        <f t="shared" si="14"/>
        <v>2893047</v>
      </c>
      <c r="P72" s="317">
        <f>Input!$TR$16</f>
        <v>245192</v>
      </c>
      <c r="Q72" s="317">
        <f>Input!$UB$16</f>
        <v>0</v>
      </c>
      <c r="R72" s="317">
        <f>Input!$UK$16</f>
        <v>0</v>
      </c>
      <c r="S72" s="321">
        <f t="shared" si="16"/>
        <v>3138239</v>
      </c>
      <c r="T72" s="320"/>
      <c r="U72" s="495">
        <f t="shared" si="15"/>
        <v>4098636</v>
      </c>
      <c r="V72" s="320"/>
      <c r="W72" s="314" t="s">
        <v>184</v>
      </c>
      <c r="X72" s="363">
        <f>Input!$UV$16</f>
        <v>4098636</v>
      </c>
      <c r="Y72" s="319">
        <f t="shared" si="13"/>
        <v>0</v>
      </c>
      <c r="Z72" s="320"/>
      <c r="AA72" s="320"/>
      <c r="AB72" s="320"/>
    </row>
    <row r="73" spans="1:28" s="149" customFormat="1" ht="13.5" thickBot="1">
      <c r="A73" s="147">
        <v>56</v>
      </c>
      <c r="B73" s="161" t="s">
        <v>21</v>
      </c>
      <c r="C73" s="161"/>
      <c r="D73" s="355">
        <f>Input!$OA$16</f>
        <v>1046996</v>
      </c>
      <c r="E73" s="355">
        <f>Input!$OB$16</f>
        <v>0</v>
      </c>
      <c r="F73" s="355">
        <f>Input!$OC$16</f>
        <v>0</v>
      </c>
      <c r="G73" s="355">
        <f>Input!$OD$16</f>
        <v>0</v>
      </c>
      <c r="H73" s="355">
        <f>Input!$OE$16</f>
        <v>0</v>
      </c>
      <c r="I73" s="355">
        <f>Input!$OF$16</f>
        <v>0</v>
      </c>
      <c r="J73" s="355">
        <f>Input!$OG$16</f>
        <v>0</v>
      </c>
      <c r="K73" s="355">
        <f>Input!$OH$16</f>
        <v>0</v>
      </c>
      <c r="L73" s="355">
        <f>Input!$OI$16</f>
        <v>0</v>
      </c>
      <c r="M73" s="357">
        <f t="shared" si="12"/>
        <v>1046996</v>
      </c>
      <c r="O73" s="322">
        <f>D73+E73+G73</f>
        <v>1046996</v>
      </c>
      <c r="P73" s="317">
        <f>Input!$TS$16</f>
        <v>0</v>
      </c>
      <c r="Q73" s="323">
        <f>Input!$UC$16</f>
        <v>0</v>
      </c>
      <c r="R73" s="323">
        <f>Input!$UL$16</f>
        <v>0</v>
      </c>
      <c r="S73" s="324">
        <f>O73+P73-Q73-R73</f>
        <v>1046996</v>
      </c>
      <c r="T73" s="325"/>
      <c r="U73" s="495">
        <f t="shared" si="15"/>
        <v>1046996</v>
      </c>
      <c r="V73" s="325"/>
      <c r="W73" s="314" t="s">
        <v>21</v>
      </c>
      <c r="X73" s="363">
        <f>Input!$UW$16</f>
        <v>1046996</v>
      </c>
      <c r="Y73" s="319">
        <f t="shared" si="13"/>
        <v>0</v>
      </c>
      <c r="Z73" s="320"/>
      <c r="AA73" s="320"/>
      <c r="AB73" s="320"/>
    </row>
    <row r="74" spans="1:28" s="149" customFormat="1" ht="13.5" thickTop="1">
      <c r="A74" s="147">
        <v>57</v>
      </c>
      <c r="B74" s="161" t="s">
        <v>1363</v>
      </c>
      <c r="C74" s="161"/>
      <c r="D74" s="355">
        <f>Input!$OJ$16</f>
        <v>0</v>
      </c>
      <c r="E74" s="355">
        <f>Input!$OK$16</f>
        <v>0</v>
      </c>
      <c r="F74" s="355">
        <f>Input!$OL$16</f>
        <v>0</v>
      </c>
      <c r="G74" s="355">
        <f>Input!$OM$16</f>
        <v>0</v>
      </c>
      <c r="H74" s="355">
        <f>Input!$ON$16</f>
        <v>0</v>
      </c>
      <c r="I74" s="355">
        <f>Input!$OO$16</f>
        <v>0</v>
      </c>
      <c r="J74" s="355">
        <f>Input!$OP$16</f>
        <v>0</v>
      </c>
      <c r="K74" s="355">
        <f>Input!$OQ$16</f>
        <v>0</v>
      </c>
      <c r="L74" s="355">
        <f>Input!$OR$16</f>
        <v>0</v>
      </c>
      <c r="M74" s="357">
        <f t="shared" si="12"/>
        <v>0</v>
      </c>
      <c r="O74" s="326"/>
      <c r="P74" s="858">
        <f>Input!$TT$16</f>
        <v>0</v>
      </c>
      <c r="Q74" s="327"/>
      <c r="R74" s="328"/>
      <c r="S74" s="329">
        <f>SUM(S65:S73)</f>
        <v>77465228</v>
      </c>
      <c r="T74" s="328"/>
      <c r="U74" s="495">
        <f t="shared" si="15"/>
        <v>0</v>
      </c>
      <c r="V74" s="328"/>
      <c r="W74" s="314" t="s">
        <v>22</v>
      </c>
      <c r="X74" s="363">
        <f>Input!$UX$16</f>
        <v>0</v>
      </c>
      <c r="Y74" s="319">
        <f t="shared" si="13"/>
        <v>0</v>
      </c>
      <c r="Z74" s="320"/>
      <c r="AA74" s="320"/>
      <c r="AB74" s="320"/>
    </row>
    <row r="75" spans="1:28" s="149" customFormat="1">
      <c r="A75" s="147">
        <v>58</v>
      </c>
      <c r="B75" s="162" t="s">
        <v>62</v>
      </c>
      <c r="C75" s="162"/>
      <c r="D75" s="355">
        <f>Input!$OS$16</f>
        <v>132992</v>
      </c>
      <c r="E75" s="355">
        <f>Input!$OT$16</f>
        <v>236995</v>
      </c>
      <c r="F75" s="355">
        <f>Input!$OU$16</f>
        <v>0</v>
      </c>
      <c r="G75" s="355">
        <f>Input!$OV$16</f>
        <v>182593</v>
      </c>
      <c r="H75" s="355">
        <f>Input!$OW$16</f>
        <v>0</v>
      </c>
      <c r="I75" s="355">
        <f>Input!$OX$16</f>
        <v>0</v>
      </c>
      <c r="J75" s="355">
        <f>Input!$OY$16</f>
        <v>0</v>
      </c>
      <c r="K75" s="355">
        <f>Input!$OZ$16</f>
        <v>0</v>
      </c>
      <c r="L75" s="355">
        <f>Input!$PA$16</f>
        <v>0</v>
      </c>
      <c r="M75" s="357">
        <f t="shared" si="12"/>
        <v>552580</v>
      </c>
      <c r="O75" s="326"/>
      <c r="P75" s="326">
        <f>SUM(P65:P74)</f>
        <v>552580</v>
      </c>
      <c r="Q75" s="327" t="s">
        <v>185</v>
      </c>
      <c r="R75" s="328"/>
      <c r="S75" s="330"/>
      <c r="T75" s="328"/>
      <c r="U75" s="495">
        <f t="shared" si="15"/>
        <v>552580</v>
      </c>
      <c r="V75" s="328"/>
      <c r="W75" s="314" t="s">
        <v>186</v>
      </c>
      <c r="X75" s="331">
        <f>M93*-1</f>
        <v>7748667</v>
      </c>
      <c r="Y75" s="319">
        <f>X75+M93</f>
        <v>0</v>
      </c>
      <c r="Z75" s="332"/>
      <c r="AA75" s="332"/>
      <c r="AB75" s="332"/>
    </row>
    <row r="76" spans="1:28" s="149" customFormat="1" ht="13.5" thickBot="1">
      <c r="A76" s="147">
        <v>59</v>
      </c>
      <c r="B76" s="163" t="s">
        <v>42</v>
      </c>
      <c r="C76" s="163"/>
      <c r="D76" s="359">
        <f>Input!$PB$16</f>
        <v>0</v>
      </c>
      <c r="E76" s="359">
        <f>Input!$PC$16</f>
        <v>0</v>
      </c>
      <c r="F76" s="359">
        <f>Input!$PD$16</f>
        <v>0</v>
      </c>
      <c r="G76" s="359">
        <f>Input!$PE$16</f>
        <v>0</v>
      </c>
      <c r="H76" s="359">
        <f>Input!$PF$16</f>
        <v>0</v>
      </c>
      <c r="I76" s="359">
        <f>Input!$PG$16</f>
        <v>0</v>
      </c>
      <c r="J76" s="359">
        <f>Input!$PH$16</f>
        <v>0</v>
      </c>
      <c r="K76" s="359">
        <f>Input!$PI$16</f>
        <v>0</v>
      </c>
      <c r="L76" s="359">
        <f>Input!$PJ$16</f>
        <v>0</v>
      </c>
      <c r="M76" s="357">
        <f t="shared" si="12"/>
        <v>0</v>
      </c>
      <c r="O76" s="326"/>
      <c r="P76" s="484" t="str">
        <f>IF(P75&lt;&gt;M75,"Out of Balance","Balanced")</f>
        <v>Balanced</v>
      </c>
      <c r="Q76" s="1322" t="s">
        <v>187</v>
      </c>
      <c r="R76" s="1323"/>
      <c r="S76" s="412">
        <f>Input!$UM$16</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35659375</v>
      </c>
      <c r="E77" s="356">
        <f t="shared" si="17"/>
        <v>31552448</v>
      </c>
      <c r="F77" s="356">
        <f t="shared" si="17"/>
        <v>0</v>
      </c>
      <c r="G77" s="356">
        <f t="shared" si="17"/>
        <v>10454579</v>
      </c>
      <c r="H77" s="356">
        <f t="shared" si="17"/>
        <v>0</v>
      </c>
      <c r="I77" s="356">
        <f t="shared" si="17"/>
        <v>0</v>
      </c>
      <c r="J77" s="356">
        <f t="shared" si="17"/>
        <v>1205589</v>
      </c>
      <c r="K77" s="356">
        <f t="shared" si="17"/>
        <v>0</v>
      </c>
      <c r="L77" s="356">
        <f t="shared" si="17"/>
        <v>0</v>
      </c>
      <c r="M77" s="356">
        <f t="shared" si="12"/>
        <v>78871991</v>
      </c>
      <c r="O77" s="50"/>
      <c r="P77" s="326"/>
      <c r="Q77" s="334" t="s">
        <v>188</v>
      </c>
      <c r="R77" s="335"/>
      <c r="S77" s="413">
        <f>Input!$UN$16</f>
        <v>0</v>
      </c>
      <c r="T77" s="336"/>
      <c r="U77" s="497">
        <f>SUM(U65:U76)</f>
        <v>78871991</v>
      </c>
      <c r="V77" s="336"/>
      <c r="W77" s="336"/>
      <c r="X77" s="337">
        <f>SUM(X65:X76)</f>
        <v>86068078</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77465228</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Input!$PK$16</f>
        <v>0</v>
      </c>
      <c r="E80" s="355">
        <f>Input!$PL$16</f>
        <v>0</v>
      </c>
      <c r="F80" s="355">
        <f>Input!$PM$16</f>
        <v>0</v>
      </c>
      <c r="G80" s="355">
        <f>Input!$PN$16</f>
        <v>0</v>
      </c>
      <c r="H80" s="355">
        <f>Input!$PO$16</f>
        <v>0</v>
      </c>
      <c r="I80" s="355">
        <f>Input!$PP$16</f>
        <v>0</v>
      </c>
      <c r="J80" s="355">
        <f>Input!$PQ$16</f>
        <v>-5715874</v>
      </c>
      <c r="K80" s="355">
        <f>Input!$PR$16</f>
        <v>0</v>
      </c>
      <c r="L80" s="355">
        <f>Input!$PS$16</f>
        <v>0</v>
      </c>
      <c r="M80" s="357">
        <f>D80+E80+F80+G80+H80+I80+J80+K80+L80</f>
        <v>-5715874</v>
      </c>
      <c r="O80" s="326"/>
      <c r="P80" s="333"/>
      <c r="Q80" s="342"/>
      <c r="R80" s="305"/>
      <c r="S80" s="343"/>
      <c r="T80" s="344"/>
      <c r="U80" s="345"/>
      <c r="V80" s="336"/>
      <c r="W80" s="341"/>
      <c r="X80" s="305"/>
      <c r="Y80" s="305"/>
      <c r="Z80" s="305"/>
      <c r="AA80" s="305"/>
      <c r="AB80" s="305"/>
    </row>
    <row r="81" spans="1:28" s="149" customFormat="1" ht="13.5" thickBot="1">
      <c r="A81" s="147">
        <v>64</v>
      </c>
      <c r="B81" s="157" t="s">
        <v>615</v>
      </c>
      <c r="D81" s="355">
        <f>Input!$PT$16</f>
        <v>-881771</v>
      </c>
      <c r="E81" s="355">
        <f>Input!$PU$16</f>
        <v>1441874</v>
      </c>
      <c r="F81" s="355">
        <f>Input!$PV$16</f>
        <v>-43670</v>
      </c>
      <c r="G81" s="355">
        <f>Input!$PW$16</f>
        <v>1426253</v>
      </c>
      <c r="H81" s="355">
        <f>Input!$PX$16</f>
        <v>0</v>
      </c>
      <c r="I81" s="355">
        <f>Input!$PY$16</f>
        <v>7137</v>
      </c>
      <c r="J81" s="355">
        <f>Input!$PZ$16</f>
        <v>-2084336</v>
      </c>
      <c r="K81" s="355">
        <f>Input!$QA$16</f>
        <v>0</v>
      </c>
      <c r="L81" s="355">
        <f>Input!$QB$16</f>
        <v>0</v>
      </c>
      <c r="M81" s="357">
        <f>D81+E81+F81+G81+H81+I81+J81+K81+L81</f>
        <v>-134513</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Input!$QC$16</f>
        <v>0</v>
      </c>
      <c r="E82" s="355">
        <f>Input!$QD$16</f>
        <v>0</v>
      </c>
      <c r="F82" s="355">
        <f>Input!$QE$16</f>
        <v>0</v>
      </c>
      <c r="G82" s="355">
        <f>Input!$QF$16</f>
        <v>0</v>
      </c>
      <c r="H82" s="355">
        <f>Input!$QG$16</f>
        <v>0</v>
      </c>
      <c r="I82" s="355">
        <f>Input!$QH$16</f>
        <v>0</v>
      </c>
      <c r="J82" s="355">
        <f>Input!$QI$16</f>
        <v>21046673</v>
      </c>
      <c r="K82" s="355">
        <f>Input!$QJ$16</f>
        <v>0</v>
      </c>
      <c r="L82" s="355">
        <f>Input!$QK$16</f>
        <v>0</v>
      </c>
      <c r="M82" s="357">
        <f>D82+E82+F82+G82+H82+I82+J82+K82+L82</f>
        <v>21046673</v>
      </c>
      <c r="O82" s="326"/>
      <c r="P82" s="1327" t="str">
        <f>IF(M91&lt;0,"Footnote 11 is N/A - No Data Entry Required","Footnote 11")</f>
        <v>Footnote 11</v>
      </c>
      <c r="Q82" s="1328"/>
      <c r="R82" s="1328"/>
      <c r="S82" s="1329"/>
      <c r="T82" s="343"/>
      <c r="U82" s="343"/>
      <c r="V82" s="305"/>
      <c r="W82" s="305"/>
      <c r="X82" s="305"/>
      <c r="Y82" s="305"/>
      <c r="Z82" s="305"/>
      <c r="AA82" s="305"/>
      <c r="AB82" s="305"/>
    </row>
    <row r="83" spans="1:28" s="149" customFormat="1" ht="13.5" thickTop="1">
      <c r="A83" s="147">
        <v>66</v>
      </c>
      <c r="B83" s="149" t="s">
        <v>43</v>
      </c>
      <c r="D83" s="355">
        <f>Input!$QL$16</f>
        <v>0</v>
      </c>
      <c r="E83" s="355">
        <f>Input!$QM$16</f>
        <v>0</v>
      </c>
      <c r="F83" s="355">
        <f>Input!$QN$16</f>
        <v>0</v>
      </c>
      <c r="G83" s="355">
        <f>Input!$QO$16</f>
        <v>0</v>
      </c>
      <c r="H83" s="355">
        <f>Input!$QP$16</f>
        <v>0</v>
      </c>
      <c r="I83" s="355">
        <f>Input!$QQ$16</f>
        <v>0</v>
      </c>
      <c r="J83" s="355">
        <f>Input!$QR$16</f>
        <v>0</v>
      </c>
      <c r="K83" s="355">
        <f>Input!$QS$16</f>
        <v>0</v>
      </c>
      <c r="L83" s="355">
        <f>Input!$QT$16</f>
        <v>0</v>
      </c>
      <c r="M83" s="357">
        <f>D83+E83+F83+G83+H83+I83+J83+K83+L83</f>
        <v>0</v>
      </c>
      <c r="O83" s="346"/>
      <c r="P83" s="458" t="s">
        <v>596</v>
      </c>
      <c r="Q83" s="459"/>
      <c r="R83" s="460"/>
      <c r="S83" s="461">
        <f>IF(M91&lt;0,"N/A",M91)</f>
        <v>22257940</v>
      </c>
      <c r="T83" s="326"/>
      <c r="U83" s="343"/>
      <c r="V83" s="305"/>
      <c r="W83" s="305"/>
      <c r="X83" s="343"/>
      <c r="Y83" s="343"/>
      <c r="Z83" s="305"/>
      <c r="AA83" s="305"/>
      <c r="AB83" s="305"/>
    </row>
    <row r="84" spans="1:28" s="149" customFormat="1">
      <c r="A84" s="147">
        <v>67</v>
      </c>
      <c r="B84" s="164" t="s">
        <v>3</v>
      </c>
      <c r="C84" s="164"/>
      <c r="D84" s="356">
        <f t="shared" ref="D84:L84" si="18">SUM(D80:D83)</f>
        <v>-881771</v>
      </c>
      <c r="E84" s="356">
        <f t="shared" si="18"/>
        <v>1441874</v>
      </c>
      <c r="F84" s="356">
        <f t="shared" si="18"/>
        <v>-43670</v>
      </c>
      <c r="G84" s="356">
        <f t="shared" si="18"/>
        <v>1426253</v>
      </c>
      <c r="H84" s="356">
        <f t="shared" si="18"/>
        <v>0</v>
      </c>
      <c r="I84" s="356">
        <f t="shared" si="18"/>
        <v>7137</v>
      </c>
      <c r="J84" s="356">
        <f t="shared" si="18"/>
        <v>13246463</v>
      </c>
      <c r="K84" s="356">
        <f t="shared" si="18"/>
        <v>0</v>
      </c>
      <c r="L84" s="356">
        <f t="shared" si="18"/>
        <v>0</v>
      </c>
      <c r="M84" s="356">
        <f>D84+E84+F84+G84+H84+I84+J84+K84+L84</f>
        <v>15196286</v>
      </c>
      <c r="O84" s="346"/>
      <c r="P84" s="462" t="s">
        <v>597</v>
      </c>
      <c r="Q84" s="347"/>
      <c r="R84" s="347"/>
      <c r="S84" s="492">
        <f>Input!$UY$16</f>
        <v>21912689</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598</v>
      </c>
      <c r="Q85" s="305"/>
      <c r="R85" s="347"/>
      <c r="S85" s="464">
        <f>IF(M91&lt;0,"",S83-S84)</f>
        <v>345251</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Input!$QU$16</f>
        <v>0</v>
      </c>
      <c r="E87" s="355">
        <f>Input!$QV$16</f>
        <v>0</v>
      </c>
      <c r="F87" s="355">
        <f>Input!$QW$16</f>
        <v>0</v>
      </c>
      <c r="G87" s="355">
        <f>Input!$QX$16</f>
        <v>0</v>
      </c>
      <c r="H87" s="355">
        <f>Input!$QY$16</f>
        <v>0</v>
      </c>
      <c r="I87" s="355">
        <f>Input!$QZ$16</f>
        <v>15251</v>
      </c>
      <c r="J87" s="355">
        <f>Input!$RA$16</f>
        <v>0</v>
      </c>
      <c r="K87" s="355">
        <f>Input!$RB$16</f>
        <v>0</v>
      </c>
      <c r="L87" s="355">
        <f>Input!$RC$16</f>
        <v>0</v>
      </c>
      <c r="M87" s="357">
        <f>D87+E87+F87+G87+H87+I87+J87+K87+L87</f>
        <v>15251</v>
      </c>
      <c r="O87" s="51"/>
      <c r="P87" s="467" t="s">
        <v>599</v>
      </c>
      <c r="Q87" s="305"/>
      <c r="R87" s="347"/>
      <c r="S87" s="463">
        <f>Input!$UZ$16</f>
        <v>15251</v>
      </c>
      <c r="T87" s="50"/>
      <c r="U87" s="50"/>
      <c r="V87" s="50"/>
      <c r="W87" s="305"/>
      <c r="X87" s="343"/>
      <c r="Y87" s="343"/>
      <c r="Z87" s="305"/>
      <c r="AA87" s="305"/>
      <c r="AB87" s="305"/>
    </row>
    <row r="88" spans="1:28" s="149" customFormat="1">
      <c r="A88" s="147">
        <v>71</v>
      </c>
      <c r="B88" s="149" t="s">
        <v>45</v>
      </c>
      <c r="D88" s="355">
        <f>Input!$RD$16</f>
        <v>0</v>
      </c>
      <c r="E88" s="355">
        <f>Input!$RE$16</f>
        <v>0</v>
      </c>
      <c r="F88" s="355">
        <f>Input!$RF$16</f>
        <v>0</v>
      </c>
      <c r="G88" s="355">
        <f>Input!$RG$16</f>
        <v>0</v>
      </c>
      <c r="H88" s="355">
        <f>Input!$RH$16</f>
        <v>0</v>
      </c>
      <c r="I88" s="355">
        <f>Input!$RI$16</f>
        <v>330000</v>
      </c>
      <c r="J88" s="355">
        <f>Input!$RJ$16</f>
        <v>0</v>
      </c>
      <c r="K88" s="355">
        <f>Input!$RK$16</f>
        <v>0</v>
      </c>
      <c r="L88" s="355">
        <f>Input!$RL$16</f>
        <v>0</v>
      </c>
      <c r="M88" s="357">
        <f>D88+E88+F88+G88+H88+I88+J88+K88+L88</f>
        <v>330000</v>
      </c>
      <c r="O88" s="302"/>
      <c r="P88" s="468" t="s">
        <v>600</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0</v>
      </c>
      <c r="H89" s="356">
        <f t="shared" si="19"/>
        <v>0</v>
      </c>
      <c r="I89" s="356">
        <f t="shared" si="19"/>
        <v>345251</v>
      </c>
      <c r="J89" s="356">
        <f t="shared" si="19"/>
        <v>0</v>
      </c>
      <c r="K89" s="356">
        <f t="shared" si="19"/>
        <v>0</v>
      </c>
      <c r="L89" s="356">
        <f t="shared" si="19"/>
        <v>0</v>
      </c>
      <c r="M89" s="356">
        <f>D89+E89+F89+G89+H89+I89+J89+K89+L89</f>
        <v>345251</v>
      </c>
      <c r="O89" s="51"/>
      <c r="P89" s="470" t="s">
        <v>601</v>
      </c>
      <c r="Q89" s="305"/>
      <c r="R89" s="305"/>
      <c r="S89" s="464">
        <f>IFERROR(S85-S87,"")</f>
        <v>330000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617</v>
      </c>
      <c r="C91" s="164"/>
      <c r="D91" s="356">
        <f t="shared" ref="D91:K91" si="20">D63-D77+D84+D89</f>
        <v>-6522233</v>
      </c>
      <c r="E91" s="356">
        <f t="shared" si="20"/>
        <v>16903238</v>
      </c>
      <c r="F91" s="356">
        <f t="shared" si="20"/>
        <v>55867</v>
      </c>
      <c r="G91" s="356">
        <f t="shared" si="20"/>
        <v>-572002</v>
      </c>
      <c r="H91" s="356">
        <f t="shared" si="20"/>
        <v>0</v>
      </c>
      <c r="I91" s="356">
        <f t="shared" si="20"/>
        <v>352196</v>
      </c>
      <c r="J91" s="356">
        <f t="shared" si="20"/>
        <v>12040874</v>
      </c>
      <c r="K91" s="356">
        <f t="shared" si="20"/>
        <v>0</v>
      </c>
      <c r="L91" s="356">
        <f>L63-L77+L84+L89</f>
        <v>0</v>
      </c>
      <c r="M91" s="356">
        <f>D91+E91+F91+G91+H91+I91+J91+K91+L91</f>
        <v>22257940</v>
      </c>
      <c r="O91" s="51"/>
      <c r="P91" s="471" t="s">
        <v>602</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Input!$RM$16</f>
        <v>0</v>
      </c>
      <c r="E93" s="355">
        <f>Input!$RN$16</f>
        <v>0</v>
      </c>
      <c r="F93" s="355">
        <f>Input!$RO$16</f>
        <v>0</v>
      </c>
      <c r="G93" s="355">
        <f>Input!$RP$16</f>
        <v>0</v>
      </c>
      <c r="H93" s="355">
        <f>Input!$RQ$16</f>
        <v>0</v>
      </c>
      <c r="I93" s="355">
        <f>Input!$RR$16</f>
        <v>0</v>
      </c>
      <c r="J93" s="355">
        <f>Input!$RS$16</f>
        <v>0</v>
      </c>
      <c r="K93" s="355">
        <f>Input!$RT$16</f>
        <v>0</v>
      </c>
      <c r="L93" s="355">
        <f>Input!$RU$16</f>
        <v>-7748667</v>
      </c>
      <c r="M93" s="357">
        <f>D93+E93+F93+G93+H93+I93+J93+K93+L93</f>
        <v>-7748667</v>
      </c>
      <c r="O93" s="299"/>
      <c r="P93" s="50"/>
      <c r="Q93" s="50"/>
      <c r="R93" s="50"/>
      <c r="S93" s="50"/>
      <c r="T93" s="50"/>
      <c r="U93" s="50"/>
      <c r="V93" s="50"/>
      <c r="W93" s="50"/>
      <c r="X93" s="50"/>
      <c r="Y93" s="50"/>
      <c r="Z93" s="50"/>
      <c r="AA93" s="50"/>
      <c r="AB93" s="50"/>
    </row>
    <row r="94" spans="1:28" s="149" customFormat="1">
      <c r="A94" s="147">
        <v>78</v>
      </c>
      <c r="B94" s="51" t="s">
        <v>94</v>
      </c>
      <c r="C94" s="51"/>
      <c r="D94" s="355">
        <f>Input!$RV$16</f>
        <v>0</v>
      </c>
      <c r="E94" s="355">
        <f>Input!$RW$16</f>
        <v>0</v>
      </c>
      <c r="F94" s="355">
        <f>Input!$RX$16</f>
        <v>0</v>
      </c>
      <c r="G94" s="355">
        <f>Input!$RY$16</f>
        <v>0</v>
      </c>
      <c r="H94" s="355">
        <f>Input!$RZ$16</f>
        <v>0</v>
      </c>
      <c r="I94" s="355">
        <f>Input!$SA$16</f>
        <v>0</v>
      </c>
      <c r="J94" s="355">
        <f>Input!$SB$16</f>
        <v>0</v>
      </c>
      <c r="K94" s="355">
        <f>Input!$SC$16</f>
        <v>0</v>
      </c>
      <c r="L94" s="355">
        <f>Input!$SD$16</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Input!$SE$16</f>
        <v>0</v>
      </c>
      <c r="E95" s="355">
        <f>Input!$SF$16</f>
        <v>0</v>
      </c>
      <c r="F95" s="355">
        <f>Input!$SG$16</f>
        <v>0</v>
      </c>
      <c r="G95" s="355">
        <f>Input!$SH$16</f>
        <v>0</v>
      </c>
      <c r="H95" s="355">
        <f>Input!$SI$16</f>
        <v>0</v>
      </c>
      <c r="I95" s="355">
        <f>Input!$SJ$16</f>
        <v>0</v>
      </c>
      <c r="J95" s="355">
        <f>Input!$SK$16</f>
        <v>0</v>
      </c>
      <c r="K95" s="355">
        <f>Input!$SL$16</f>
        <v>0</v>
      </c>
      <c r="L95" s="355">
        <f>Input!$SM$16</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Input!$SN$16</f>
        <v>0</v>
      </c>
      <c r="E96" s="355">
        <f>Input!$SO$16</f>
        <v>0</v>
      </c>
      <c r="F96" s="355">
        <f>Input!$SP$16</f>
        <v>0</v>
      </c>
      <c r="G96" s="355">
        <f>Input!$SQ$16</f>
        <v>0</v>
      </c>
      <c r="H96" s="355">
        <f>Input!$SR$16</f>
        <v>0</v>
      </c>
      <c r="I96" s="355">
        <f>Input!$SS$16</f>
        <v>0</v>
      </c>
      <c r="J96" s="355">
        <f>Input!$ST$16</f>
        <v>0</v>
      </c>
      <c r="K96" s="355">
        <f>Input!$SU$16</f>
        <v>0</v>
      </c>
      <c r="L96" s="355">
        <f>Input!$SV$16</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Input!$SW$16</f>
        <v>0</v>
      </c>
      <c r="E97" s="355">
        <f>Input!$SX$16</f>
        <v>0</v>
      </c>
      <c r="F97" s="355">
        <f>Input!$SY$16</f>
        <v>0</v>
      </c>
      <c r="G97" s="355">
        <f>Input!$SZ$16</f>
        <v>0</v>
      </c>
      <c r="H97" s="355">
        <f>Input!$TA$16</f>
        <v>0</v>
      </c>
      <c r="I97" s="355">
        <f>Input!$TB$16</f>
        <v>0</v>
      </c>
      <c r="J97" s="355">
        <f>Input!$TC$16</f>
        <v>0</v>
      </c>
      <c r="K97" s="355">
        <f>Input!$TD$16</f>
        <v>0</v>
      </c>
      <c r="L97" s="355">
        <f>Input!$TE$16</f>
        <v>0</v>
      </c>
      <c r="M97" s="357">
        <f>D97+E97+F97+G97+H97+I97+J97+K97+L97</f>
        <v>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-6522233</v>
      </c>
      <c r="E98" s="360">
        <f t="shared" si="21"/>
        <v>16903238</v>
      </c>
      <c r="F98" s="360">
        <f t="shared" si="21"/>
        <v>55867</v>
      </c>
      <c r="G98" s="360">
        <f t="shared" si="21"/>
        <v>-572002</v>
      </c>
      <c r="H98" s="360">
        <f t="shared" si="21"/>
        <v>0</v>
      </c>
      <c r="I98" s="360">
        <f t="shared" si="21"/>
        <v>352196</v>
      </c>
      <c r="J98" s="360">
        <f t="shared" si="21"/>
        <v>12040874</v>
      </c>
      <c r="K98" s="360">
        <f t="shared" si="21"/>
        <v>0</v>
      </c>
      <c r="L98" s="360">
        <f t="shared" si="21"/>
        <v>-7748667</v>
      </c>
      <c r="M98" s="360">
        <f>SUM(M91:M97)</f>
        <v>14509273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1296</v>
      </c>
      <c r="C100" s="169"/>
      <c r="I100" s="156"/>
      <c r="O100" s="299"/>
      <c r="P100" s="1330" t="s">
        <v>1284</v>
      </c>
      <c r="Q100" s="1331"/>
      <c r="R100" s="1331"/>
      <c r="S100" s="1331"/>
      <c r="T100" s="1331"/>
      <c r="U100" s="1331"/>
      <c r="V100" s="1332"/>
      <c r="W100" s="50"/>
      <c r="X100" s="50"/>
      <c r="Y100" s="50"/>
      <c r="Z100" s="50"/>
      <c r="AA100" s="50"/>
      <c r="AB100" s="50"/>
    </row>
    <row r="101" spans="1:28" s="149" customFormat="1">
      <c r="A101" s="147">
        <v>82</v>
      </c>
      <c r="B101" s="169" t="s">
        <v>85</v>
      </c>
      <c r="O101" s="299"/>
      <c r="P101" s="474" t="s">
        <v>603</v>
      </c>
      <c r="Q101" s="417"/>
      <c r="R101" s="474" t="s">
        <v>604</v>
      </c>
      <c r="S101" s="417"/>
      <c r="T101" s="475"/>
      <c r="U101" s="474" t="s">
        <v>605</v>
      </c>
      <c r="V101" s="417"/>
      <c r="W101" s="50"/>
      <c r="X101" s="50"/>
      <c r="Y101" s="50"/>
      <c r="Z101" s="50"/>
      <c r="AA101" s="50"/>
      <c r="AB101" s="50"/>
    </row>
    <row r="102" spans="1:28" s="149" customFormat="1">
      <c r="A102" s="147">
        <v>83</v>
      </c>
      <c r="B102" s="51" t="s">
        <v>1247</v>
      </c>
      <c r="O102" s="51"/>
      <c r="P102" s="476"/>
      <c r="Q102" s="477"/>
      <c r="R102" s="476"/>
      <c r="S102" s="421"/>
      <c r="T102" s="305"/>
      <c r="U102" s="478"/>
      <c r="V102" s="421"/>
      <c r="W102" s="50"/>
      <c r="X102" s="50"/>
      <c r="Y102" s="50"/>
      <c r="Z102" s="50"/>
      <c r="AA102" s="50"/>
      <c r="AB102" s="50"/>
    </row>
    <row r="103" spans="1:28" s="149" customFormat="1">
      <c r="A103" s="147">
        <v>84</v>
      </c>
      <c r="O103" s="51"/>
      <c r="P103" s="1338" t="str">
        <f>Input!$VC$16</f>
        <v>Lilia M. St. Clair</v>
      </c>
      <c r="Q103" s="1334"/>
      <c r="R103" s="1333" t="str">
        <f>Input!$VD$16</f>
        <v>956-665-7906</v>
      </c>
      <c r="S103" s="1334"/>
      <c r="T103" s="305"/>
      <c r="U103" s="1335" t="str">
        <f>HYPERLINK("Mailto:"&amp;Input!$VE$16,Input!$VE$16)</f>
        <v>lilia.stclair@utrgv.edu</v>
      </c>
      <c r="V103" s="1334"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1248</v>
      </c>
      <c r="D105" s="171"/>
      <c r="E105" s="171"/>
      <c r="F105" s="171"/>
      <c r="G105" s="171"/>
      <c r="H105" s="171"/>
      <c r="I105" s="171"/>
      <c r="J105" s="171"/>
      <c r="K105" s="171"/>
      <c r="L105" s="172"/>
      <c r="M105" s="355">
        <f>Input!$TF$16</f>
        <v>14509273</v>
      </c>
      <c r="O105" s="74"/>
      <c r="P105" s="1324" t="s">
        <v>606</v>
      </c>
      <c r="Q105" s="1325"/>
      <c r="R105" s="1325"/>
      <c r="S105" s="1325"/>
      <c r="T105" s="1325"/>
      <c r="U105" s="1325"/>
      <c r="V105" s="1326"/>
      <c r="W105" s="352"/>
      <c r="X105" s="50"/>
      <c r="Y105" s="50"/>
      <c r="Z105" s="50"/>
      <c r="AA105" s="50"/>
      <c r="AB105" s="50"/>
    </row>
    <row r="106" spans="1:28" s="171" customFormat="1">
      <c r="A106" s="147"/>
      <c r="B106" s="149" t="s">
        <v>91</v>
      </c>
      <c r="C106" s="149"/>
      <c r="M106" s="361">
        <f>M98-M105</f>
        <v>0</v>
      </c>
      <c r="O106" s="353"/>
      <c r="P106" s="1324"/>
      <c r="Q106" s="1325"/>
      <c r="R106" s="1325"/>
      <c r="S106" s="1325"/>
      <c r="T106" s="1325"/>
      <c r="U106" s="1325"/>
      <c r="V106" s="1326"/>
      <c r="W106" s="50"/>
      <c r="X106" s="352"/>
      <c r="Y106" s="352"/>
      <c r="Z106" s="352"/>
      <c r="AA106" s="352"/>
      <c r="AB106" s="352"/>
    </row>
    <row r="107" spans="1:28" s="171" customFormat="1">
      <c r="A107" s="147"/>
      <c r="D107" s="149"/>
      <c r="E107" s="149"/>
      <c r="F107" s="149"/>
      <c r="G107" s="149"/>
      <c r="H107" s="149"/>
      <c r="I107" s="149"/>
      <c r="J107" s="149"/>
      <c r="K107" s="149"/>
      <c r="L107" s="490" t="str">
        <f>IF($L$123&lt;&gt;Input!$F$16,"Out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64643547</v>
      </c>
      <c r="E110" s="357">
        <f>SUM($E$10:$E$14)+SUM($E$19:$E$28)+SUM($E$50)+$E$53+SUM($E$56:$E$61)+SUM($E$65:$E$76)+SUM($E$80:$E$83)+SUM($E$87:$E$88)+SUM($E$93:$E$97)+SUM($E$32:$E$41)+$E$47</f>
        <v>80008134</v>
      </c>
      <c r="F110" s="357">
        <f>SUM($F$10:$F$14)+SUM($F$19:$F$28)+SUM($F$50)+$F$53+SUM($F$56:$F$61)+SUM($F$65:$F$76)+SUM($F$80:$F$83)+SUM($F$87:$F$88)+SUM($F$93:$F$97)+SUM($F$32:$F$41)+$F$47</f>
        <v>55867</v>
      </c>
      <c r="G110" s="357">
        <f>SUM($G$10:$G$14)+SUM($G$19:$G$28)+SUM($G$50)+$G$53+SUM($G$56:$G$61)+SUM($G$65:$G$76)+SUM($G$80:$G$83)+SUM($G$87:$G$88)+SUM($G$93:$G$97)+SUM($G$32:$G$41)+$G$47</f>
        <v>20337156</v>
      </c>
      <c r="H110" s="357">
        <f>SUM($H$10:$H$14)+SUM($H$19:$H$28)+SUM($H$50)+$H$53+SUM($H$56:$H$61)+SUM($H$65:$H$76)+SUM($H$80:$H$83)+SUM($H$87:$H$88)+SUM($H$93:$H$97)+SUM($H$32:$H$41)+$H$47</f>
        <v>0</v>
      </c>
      <c r="I110" s="357">
        <f>SUM($I$10:$I$14)+SUM($I$19:$I$28)+SUM($I$50)+$I$53+SUM($I$56:$I$61)+SUM($I$65:$I$76)+SUM($I$80:$I$83)+SUM($I$87:$I$88)+SUM($I$93:$I$97)+SUM($I$32:$I$41)+$I$47</f>
        <v>352196</v>
      </c>
      <c r="J110" s="357">
        <f>SUM($J$10:$J$14)+SUM($J$19:$J$28)+SUM($J$50)+$J$53+SUM($J$56:$J$61)+SUM($J$65:$J$76)+SUM($J$80:$J$83)+SUM($J$87:$J$88)+SUM($J$93:$J$97)+SUM($J$32:$J$41)+$J$47</f>
        <v>14452052</v>
      </c>
      <c r="K110" s="357">
        <f>SUM($K$10:$K$14)+SUM($K$19:$K$28)+SUM($K$50)+$K$53+SUM($K$56:$K$61)+SUM($K$65:$K$76)+SUM($K$80:$K$83)+SUM($K$87:$K$88)+SUM($K$93:$K$97)+SUM($K$32:$K$41)+$K$47</f>
        <v>0</v>
      </c>
      <c r="L110" s="357">
        <f>SUM($L$10:$L$14)+SUM($L$19:$L$28)+SUM($L$50)+$L$53+SUM($L$56:$L$61)+SUM($L$65:$L$76)+SUM($L$80:$L$83)+SUM($L$87:$L$88)+SUM($L$93:$L$97)+SUM($L$32:$L$41)+$L$47</f>
        <v>-7748667</v>
      </c>
      <c r="M110" s="51"/>
      <c r="O110" s="51"/>
    </row>
    <row r="111" spans="1:28" s="50" customFormat="1">
      <c r="A111" s="293"/>
      <c r="B111" s="51"/>
      <c r="C111" s="51"/>
      <c r="D111" s="51"/>
      <c r="E111" s="51"/>
      <c r="F111" s="51"/>
      <c r="G111" s="51"/>
      <c r="H111" s="51"/>
      <c r="I111" s="51"/>
      <c r="J111" s="51"/>
      <c r="K111" s="51"/>
      <c r="L111" s="357">
        <f>SUM($D$110:$L$110)</f>
        <v>172100285</v>
      </c>
      <c r="M111" s="51"/>
      <c r="O111" s="51"/>
    </row>
    <row r="112" spans="1:28" s="50" customFormat="1">
      <c r="A112" s="293"/>
      <c r="B112" s="51"/>
      <c r="C112" s="51"/>
      <c r="D112" s="51"/>
      <c r="E112" s="51"/>
      <c r="F112" s="51"/>
      <c r="G112" s="51"/>
      <c r="H112" s="51"/>
      <c r="I112" s="51"/>
      <c r="J112" s="51" t="s">
        <v>1249</v>
      </c>
      <c r="K112" s="51"/>
      <c r="L112" s="357">
        <f>$M$105</f>
        <v>14509273</v>
      </c>
      <c r="M112" s="51"/>
      <c r="O112" s="51"/>
    </row>
    <row r="113" spans="1:15" s="50" customFormat="1">
      <c r="A113" s="293"/>
      <c r="B113" s="51"/>
      <c r="C113" s="51"/>
      <c r="D113" s="51"/>
      <c r="E113" s="51"/>
      <c r="F113" s="51"/>
      <c r="G113" s="51"/>
      <c r="H113" s="51"/>
      <c r="I113" s="51"/>
      <c r="J113" s="51" t="s">
        <v>1250</v>
      </c>
      <c r="K113" s="51"/>
      <c r="L113" s="143">
        <f>$Q$32</f>
        <v>2256122</v>
      </c>
      <c r="M113" s="51"/>
      <c r="O113" s="51"/>
    </row>
    <row r="114" spans="1:15" s="50" customFormat="1">
      <c r="A114" s="293"/>
      <c r="B114" s="51"/>
      <c r="C114" s="51"/>
      <c r="D114" s="51"/>
      <c r="E114" s="51"/>
      <c r="F114" s="51"/>
      <c r="G114" s="51"/>
      <c r="H114" s="51"/>
      <c r="I114" s="51"/>
      <c r="J114" s="51" t="s">
        <v>1250</v>
      </c>
      <c r="K114" s="51"/>
      <c r="L114" s="143">
        <f>$R$34</f>
        <v>-9611</v>
      </c>
      <c r="M114" s="51"/>
      <c r="O114" s="51"/>
    </row>
    <row r="115" spans="1:15" s="50" customFormat="1">
      <c r="A115" s="293"/>
      <c r="B115" s="51"/>
      <c r="C115" s="51"/>
      <c r="D115" s="51"/>
      <c r="E115" s="51"/>
      <c r="F115" s="51"/>
      <c r="G115" s="51"/>
      <c r="H115" s="51"/>
      <c r="I115" s="51"/>
      <c r="J115" s="51" t="s">
        <v>27</v>
      </c>
      <c r="K115" s="51"/>
      <c r="L115" s="143">
        <f>SUM($P$65:$P$74)</f>
        <v>552580</v>
      </c>
      <c r="M115" s="51"/>
      <c r="O115" s="51"/>
    </row>
    <row r="116" spans="1:15" s="50" customFormat="1">
      <c r="A116" s="293"/>
      <c r="B116" s="51"/>
      <c r="C116" s="51"/>
      <c r="D116" s="51"/>
      <c r="E116" s="51"/>
      <c r="F116" s="51"/>
      <c r="G116" s="51"/>
      <c r="H116" s="51"/>
      <c r="I116" s="51"/>
      <c r="J116" s="51" t="s">
        <v>1009</v>
      </c>
      <c r="K116" s="51"/>
      <c r="L116" s="143">
        <f>$S$76+$S$77</f>
        <v>0</v>
      </c>
      <c r="M116" s="51"/>
      <c r="O116" s="51"/>
    </row>
    <row r="117" spans="1:15" s="50" customFormat="1">
      <c r="A117" s="293"/>
      <c r="B117" s="51"/>
      <c r="C117" s="51"/>
      <c r="D117" s="51"/>
      <c r="E117" s="51"/>
      <c r="F117" s="51"/>
      <c r="G117" s="51"/>
      <c r="H117" s="51"/>
      <c r="I117" s="51"/>
      <c r="J117" s="51" t="s">
        <v>607</v>
      </c>
      <c r="K117" s="51"/>
      <c r="L117" s="143">
        <f>SUM($Q$65:$Q$73)</f>
        <v>201174</v>
      </c>
      <c r="M117" s="51"/>
      <c r="O117" s="51"/>
    </row>
    <row r="118" spans="1:15" s="50" customFormat="1">
      <c r="A118" s="293"/>
      <c r="B118" s="51"/>
      <c r="C118" s="51"/>
      <c r="D118" s="51"/>
      <c r="E118" s="51"/>
      <c r="F118" s="51"/>
      <c r="G118" s="51"/>
      <c r="H118" s="51"/>
      <c r="I118" s="51"/>
      <c r="J118" s="51" t="s">
        <v>608</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78319411</v>
      </c>
      <c r="M119" s="51"/>
      <c r="O119" s="51"/>
    </row>
    <row r="120" spans="1:15" s="50" customFormat="1">
      <c r="A120" s="293"/>
      <c r="B120" s="51"/>
      <c r="C120" s="51"/>
      <c r="D120" s="51"/>
      <c r="E120" s="51"/>
      <c r="F120" s="51"/>
      <c r="G120" s="51"/>
      <c r="H120" s="51"/>
      <c r="I120" s="51"/>
      <c r="J120" s="51" t="s">
        <v>609</v>
      </c>
      <c r="K120" s="51"/>
      <c r="L120" s="143">
        <f>$S$84</f>
        <v>21912689</v>
      </c>
      <c r="M120" s="51"/>
      <c r="O120" s="51"/>
    </row>
    <row r="121" spans="1:15" s="50" customFormat="1">
      <c r="A121" s="293"/>
      <c r="B121" s="51"/>
      <c r="C121" s="51"/>
      <c r="D121" s="51"/>
      <c r="E121" s="51"/>
      <c r="F121" s="51"/>
      <c r="G121" s="51"/>
      <c r="H121" s="51"/>
      <c r="I121" s="51"/>
      <c r="J121" s="51" t="s">
        <v>609</v>
      </c>
      <c r="K121" s="51"/>
      <c r="L121" s="143">
        <f>$S$87</f>
        <v>15251</v>
      </c>
      <c r="M121" s="51"/>
      <c r="O121" s="51"/>
    </row>
    <row r="122" spans="1:15" s="50" customFormat="1">
      <c r="A122" s="293"/>
      <c r="B122" s="51"/>
      <c r="C122" s="51"/>
      <c r="D122" s="51"/>
      <c r="E122" s="51"/>
      <c r="F122" s="51"/>
      <c r="G122" s="51"/>
      <c r="H122" s="51"/>
      <c r="I122" s="51"/>
      <c r="J122" s="51" t="s">
        <v>1255</v>
      </c>
      <c r="K122" s="51"/>
      <c r="L122" s="935">
        <f>VLOOKUP(B2,Names!$B$10:$C$88,2,FALSE)</f>
        <v>203599</v>
      </c>
      <c r="M122" s="51"/>
      <c r="O122" s="51"/>
    </row>
    <row r="123" spans="1:15" s="50" customFormat="1">
      <c r="A123" s="293"/>
      <c r="B123" s="51"/>
      <c r="C123" s="51"/>
      <c r="D123" s="51"/>
      <c r="E123" s="51"/>
      <c r="F123" s="51"/>
      <c r="G123" s="51"/>
      <c r="H123" s="51"/>
      <c r="I123" s="51"/>
      <c r="J123" s="51"/>
      <c r="K123" s="51"/>
      <c r="L123" s="486">
        <f>SUM($L$111:$L$122)</f>
        <v>290060773</v>
      </c>
      <c r="M123" s="51"/>
      <c r="O123" s="51"/>
    </row>
    <row r="128" spans="1:15">
      <c r="L128" s="860"/>
    </row>
  </sheetData>
  <mergeCells count="27">
    <mergeCell ref="B2:F2"/>
    <mergeCell ref="B3:F3"/>
    <mergeCell ref="B4:F4"/>
    <mergeCell ref="P4:Q4"/>
    <mergeCell ref="B6:M6"/>
    <mergeCell ref="O19:S19"/>
    <mergeCell ref="U19:Y19"/>
    <mergeCell ref="O60:S60"/>
    <mergeCell ref="W60:Y60"/>
    <mergeCell ref="P10:P11"/>
    <mergeCell ref="P82:S82"/>
    <mergeCell ref="O61:O64"/>
    <mergeCell ref="P61:P64"/>
    <mergeCell ref="Q61:Q64"/>
    <mergeCell ref="R61:R64"/>
    <mergeCell ref="S61:S64"/>
    <mergeCell ref="W61:W64"/>
    <mergeCell ref="X61:X64"/>
    <mergeCell ref="Y61:Y64"/>
    <mergeCell ref="G64:K64"/>
    <mergeCell ref="Q76:R76"/>
    <mergeCell ref="U61:U64"/>
    <mergeCell ref="P100:V100"/>
    <mergeCell ref="P103:Q103"/>
    <mergeCell ref="R103:S103"/>
    <mergeCell ref="U103:V103"/>
    <mergeCell ref="P105:V106"/>
  </mergeCells>
  <conditionalFormatting sqref="D99:M99 D98:L98">
    <cfRule type="cellIs" dxfId="60" priority="67" stopIfTrue="1" operator="notEqual">
      <formula>#REF!</formula>
    </cfRule>
  </conditionalFormatting>
  <conditionalFormatting sqref="M77">
    <cfRule type="cellIs" dxfId="59" priority="66" stopIfTrue="1" operator="notEqual">
      <formula>SUM($M$65:$M$76)</formula>
    </cfRule>
  </conditionalFormatting>
  <conditionalFormatting sqref="M89">
    <cfRule type="cellIs" dxfId="58" priority="65" stopIfTrue="1" operator="notEqual">
      <formula>SUM($M$87:$M$88)</formula>
    </cfRule>
  </conditionalFormatting>
  <conditionalFormatting sqref="M84">
    <cfRule type="cellIs" dxfId="57" priority="64" stopIfTrue="1" operator="notEqual">
      <formula>SUM($M$80:$M$83)</formula>
    </cfRule>
  </conditionalFormatting>
  <conditionalFormatting sqref="M62">
    <cfRule type="cellIs" dxfId="56" priority="63" stopIfTrue="1" operator="notEqual">
      <formula>SUM($M$56:$M$61)</formula>
    </cfRule>
  </conditionalFormatting>
  <conditionalFormatting sqref="M15">
    <cfRule type="cellIs" dxfId="55" priority="62" stopIfTrue="1" operator="notEqual">
      <formula>SUM($M$10:$M$14)</formula>
    </cfRule>
  </conditionalFormatting>
  <conditionalFormatting sqref="R99:S102 X95:AB102 U93:W100 T95:T102 O93:O100 P94:P101 Q93:Q100 S95:S98 R95:R97 D98:L98">
    <cfRule type="cellIs" dxfId="54" priority="61" stopIfTrue="1" operator="notEqual">
      <formula>#REF!</formula>
    </cfRule>
  </conditionalFormatting>
  <conditionalFormatting sqref="G64:K64">
    <cfRule type="expression" dxfId="53" priority="59">
      <formula>$R$98&lt;&gt;0</formula>
    </cfRule>
    <cfRule type="expression" dxfId="52" priority="60">
      <formula>$T$93&gt;0</formula>
    </cfRule>
  </conditionalFormatting>
  <conditionalFormatting sqref="O11:P11">
    <cfRule type="expression" dxfId="51" priority="58">
      <formula>#REF!&lt;&gt;$N$11</formula>
    </cfRule>
  </conditionalFormatting>
  <conditionalFormatting sqref="O13">
    <cfRule type="expression" dxfId="50" priority="57">
      <formula>$P$13&lt;&gt;$M$13</formula>
    </cfRule>
  </conditionalFormatting>
  <conditionalFormatting sqref="O12">
    <cfRule type="expression" dxfId="49" priority="56">
      <formula>$P$12&lt;&gt;$M$12</formula>
    </cfRule>
  </conditionalFormatting>
  <conditionalFormatting sqref="S91">
    <cfRule type="expression" priority="54" stopIfTrue="1">
      <formula>$N$91&lt;0</formula>
    </cfRule>
    <cfRule type="expression" dxfId="48" priority="55">
      <formula>$T$91&lt;&gt;0</formula>
    </cfRule>
  </conditionalFormatting>
  <conditionalFormatting sqref="S84 S87">
    <cfRule type="expression" dxfId="47" priority="52" stopIfTrue="1">
      <formula>$N$91&gt;=0</formula>
    </cfRule>
    <cfRule type="expression" priority="53">
      <formula>$N$91&lt;0</formula>
    </cfRule>
  </conditionalFormatting>
  <conditionalFormatting sqref="U100:V100 R102 U101 P100:P101 Q100:R100 S100:T102 S105:U106">
    <cfRule type="cellIs" dxfId="46" priority="51" stopIfTrue="1" operator="notEqual">
      <formula>#REF!</formula>
    </cfRule>
  </conditionalFormatting>
  <conditionalFormatting sqref="P76">
    <cfRule type="expression" dxfId="45" priority="50">
      <formula>$P$75&lt;&gt;$M$75</formula>
    </cfRule>
  </conditionalFormatting>
  <conditionalFormatting sqref="Y78">
    <cfRule type="expression" dxfId="44" priority="49">
      <formula>$Y$77&lt;&gt;0</formula>
    </cfRule>
  </conditionalFormatting>
  <conditionalFormatting sqref="Q36">
    <cfRule type="expression" dxfId="43" priority="48">
      <formula>#REF!&lt;&gt;#REF!</formula>
    </cfRule>
  </conditionalFormatting>
  <conditionalFormatting sqref="R35">
    <cfRule type="expression" dxfId="42" priority="47">
      <formula>#REF!&lt;&gt;0</formula>
    </cfRule>
  </conditionalFormatting>
  <conditionalFormatting sqref="Q35">
    <cfRule type="expression" dxfId="41" priority="46">
      <formula>#REF!&lt;&gt;0</formula>
    </cfRule>
  </conditionalFormatting>
  <conditionalFormatting sqref="R36">
    <cfRule type="expression" dxfId="40" priority="45">
      <formula>#REF!&lt;&gt;#REF!</formula>
    </cfRule>
  </conditionalFormatting>
  <conditionalFormatting sqref="D99:M99 D98:L98">
    <cfRule type="cellIs" dxfId="39" priority="44" stopIfTrue="1" operator="notEqual">
      <formula>#REF!</formula>
    </cfRule>
  </conditionalFormatting>
  <conditionalFormatting sqref="M77">
    <cfRule type="cellIs" dxfId="38" priority="43" stopIfTrue="1" operator="notEqual">
      <formula>SUM($M$65:$M$76)</formula>
    </cfRule>
  </conditionalFormatting>
  <conditionalFormatting sqref="M89">
    <cfRule type="cellIs" dxfId="37" priority="42" stopIfTrue="1" operator="notEqual">
      <formula>SUM($M$87:$M$88)</formula>
    </cfRule>
  </conditionalFormatting>
  <conditionalFormatting sqref="M84">
    <cfRule type="cellIs" dxfId="36" priority="41" stopIfTrue="1" operator="notEqual">
      <formula>SUM($M$80:$M$83)</formula>
    </cfRule>
  </conditionalFormatting>
  <conditionalFormatting sqref="M62">
    <cfRule type="cellIs" dxfId="35" priority="40" stopIfTrue="1" operator="notEqual">
      <formula>SUM($M$56:$M$61)</formula>
    </cfRule>
  </conditionalFormatting>
  <conditionalFormatting sqref="M15">
    <cfRule type="cellIs" dxfId="34" priority="39" stopIfTrue="1" operator="notEqual">
      <formula>SUM($M$10:$M$14)</formula>
    </cfRule>
  </conditionalFormatting>
  <conditionalFormatting sqref="R99:S102 X95:AB102 U93:W100 T95:T102 O93:O100 P94:P101 Q93:Q100 S95:S98 R95:R97 D99:M99 D98:L98">
    <cfRule type="cellIs" dxfId="33" priority="38" stopIfTrue="1" operator="notEqual">
      <formula>#REF!</formula>
    </cfRule>
  </conditionalFormatting>
  <conditionalFormatting sqref="G64:K64">
    <cfRule type="expression" dxfId="32" priority="36">
      <formula>$R$98&lt;&gt;0</formula>
    </cfRule>
    <cfRule type="expression" dxfId="31" priority="37">
      <formula>$T$93&gt;0</formula>
    </cfRule>
  </conditionalFormatting>
  <conditionalFormatting sqref="O11:P11">
    <cfRule type="expression" dxfId="30" priority="35">
      <formula>#REF!&lt;&gt;$N$11</formula>
    </cfRule>
  </conditionalFormatting>
  <conditionalFormatting sqref="O13">
    <cfRule type="expression" dxfId="29" priority="34">
      <formula>$Q$13&lt;&gt;$N$13</formula>
    </cfRule>
  </conditionalFormatting>
  <conditionalFormatting sqref="O12">
    <cfRule type="expression" dxfId="28" priority="33">
      <formula>$Q$12&lt;&gt;$N$12</formula>
    </cfRule>
  </conditionalFormatting>
  <conditionalFormatting sqref="S91">
    <cfRule type="expression" priority="31" stopIfTrue="1">
      <formula>$N$91&lt;0</formula>
    </cfRule>
    <cfRule type="expression" dxfId="27" priority="32">
      <formula>$T$91&lt;&gt;0</formula>
    </cfRule>
  </conditionalFormatting>
  <conditionalFormatting sqref="S84 S87">
    <cfRule type="expression" dxfId="26" priority="29" stopIfTrue="1">
      <formula>$M$91&gt;=0</formula>
    </cfRule>
    <cfRule type="expression" priority="30">
      <formula>$M$91&lt;0</formula>
    </cfRule>
  </conditionalFormatting>
  <conditionalFormatting sqref="U100:V100 R102 U101 P100:P101 Q100:R100 S100:T102 S105:U106">
    <cfRule type="cellIs" dxfId="25" priority="28" stopIfTrue="1" operator="notEqual">
      <formula>#REF!</formula>
    </cfRule>
  </conditionalFormatting>
  <conditionalFormatting sqref="P76">
    <cfRule type="expression" dxfId="24" priority="27">
      <formula>$P$75&lt;&gt;$M$75</formula>
    </cfRule>
  </conditionalFormatting>
  <conditionalFormatting sqref="Y78">
    <cfRule type="expression" dxfId="23" priority="26">
      <formula>$Y$77&lt;&gt;0</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99:M99 D98:L98">
    <cfRule type="cellIs" dxfId="18" priority="21" stopIfTrue="1" operator="notEqual">
      <formula>#REF!</formula>
    </cfRule>
  </conditionalFormatting>
  <conditionalFormatting sqref="M77">
    <cfRule type="cellIs" dxfId="17" priority="20" stopIfTrue="1" operator="notEqual">
      <formula>SUM($M$65:$M$76)</formula>
    </cfRule>
  </conditionalFormatting>
  <conditionalFormatting sqref="M89">
    <cfRule type="cellIs" dxfId="16" priority="19" stopIfTrue="1" operator="notEqual">
      <formula>SUM($M$87:$M$88)</formula>
    </cfRule>
  </conditionalFormatting>
  <conditionalFormatting sqref="M84">
    <cfRule type="cellIs" dxfId="15" priority="18" stopIfTrue="1" operator="notEqual">
      <formula>SUM($M$80:$M$83)</formula>
    </cfRule>
  </conditionalFormatting>
  <conditionalFormatting sqref="M62">
    <cfRule type="cellIs" dxfId="14" priority="17" stopIfTrue="1" operator="notEqual">
      <formula>SUM($M$56:$M$61)</formula>
    </cfRule>
  </conditionalFormatting>
  <conditionalFormatting sqref="M15">
    <cfRule type="cellIs" dxfId="13" priority="16" stopIfTrue="1" operator="notEqual">
      <formula>SUM($M$10:$M$14)</formula>
    </cfRule>
  </conditionalFormatting>
  <conditionalFormatting sqref="D98:L98">
    <cfRule type="cellIs" dxfId="12" priority="15" stopIfTrue="1" operator="notEqual">
      <formula>#REF!</formula>
    </cfRule>
  </conditionalFormatting>
  <conditionalFormatting sqref="G64:K64">
    <cfRule type="expression" dxfId="11" priority="14">
      <formula>$R$98&lt;&gt;0</formula>
    </cfRule>
  </conditionalFormatting>
  <conditionalFormatting sqref="O11:P11">
    <cfRule type="expression" dxfId="10" priority="13">
      <formula>#REF!&lt;&gt;$N$11</formula>
    </cfRule>
  </conditionalFormatting>
  <conditionalFormatting sqref="O13">
    <cfRule type="expression" dxfId="9" priority="12">
      <formula>$Q$13&lt;&gt;$N$13</formula>
    </cfRule>
  </conditionalFormatting>
  <conditionalFormatting sqref="O12">
    <cfRule type="expression" dxfId="8" priority="11">
      <formula>$Q$12&lt;&gt;$N$12</formula>
    </cfRule>
  </conditionalFormatting>
  <conditionalFormatting sqref="S91">
    <cfRule type="expression" priority="9" stopIfTrue="1">
      <formula>$N$91&lt;0</formula>
    </cfRule>
    <cfRule type="expression" dxfId="7" priority="10">
      <formula>$T$91&lt;&gt;0</formula>
    </cfRule>
  </conditionalFormatting>
  <conditionalFormatting sqref="S84 S87">
    <cfRule type="expression" dxfId="6" priority="7" stopIfTrue="1">
      <formula>$M$91&gt;=0</formula>
    </cfRule>
    <cfRule type="expression" priority="8">
      <formula>$M$91&lt;0</formula>
    </cfRule>
  </conditionalFormatting>
  <conditionalFormatting sqref="U100:V100 R102 U101 P100:P101 Q100:R100 S100:T102 S105:U106">
    <cfRule type="cellIs" dxfId="5" priority="6" stopIfTrue="1" operator="notEqual">
      <formula>#REF!</formula>
    </cfRule>
  </conditionalFormatting>
  <conditionalFormatting sqref="P76">
    <cfRule type="expression" dxfId="4" priority="5">
      <formula>$P$75&lt;&gt;$M$75</formula>
    </cfRule>
  </conditionalFormatting>
  <conditionalFormatting sqref="Y78">
    <cfRule type="expression" dxfId="3" priority="4">
      <formula>$Y$77&lt;&gt;0</formula>
    </cfRule>
  </conditionalFormatting>
  <conditionalFormatting sqref="Q36:R36">
    <cfRule type="expression" dxfId="2" priority="3">
      <formula>#REF!&lt;&gt;#REF!</formula>
    </cfRule>
  </conditionalFormatting>
  <conditionalFormatting sqref="R35">
    <cfRule type="expression" dxfId="1" priority="2">
      <formula>#REF!&lt;&gt;0</formula>
    </cfRule>
  </conditionalFormatting>
  <conditionalFormatting sqref="Q35">
    <cfRule type="expression" dxfId="0" priority="1">
      <formula>#REF!&lt;&gt;0</formula>
    </cfRule>
  </conditionalFormatting>
  <hyperlinks>
    <hyperlink ref="O2" location="Index!A1" display="Return to Index"/>
  </hyperlinks>
  <printOptions horizontalCentered="1"/>
  <pageMargins left="0.25" right="0.25" top="0.25" bottom="0.2" header="0.5" footer="0.2"/>
  <pageSetup scale="43" pageOrder="overThenDown" orientation="landscape" r:id="rId1"/>
  <headerFooter alignWithMargins="0"/>
  <rowBreaks count="1" manualBreakCount="1">
    <brk id="10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zoomScale="90" zoomScaleNormal="90" workbookViewId="0">
      <selection activeCell="D1" sqref="D1"/>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'RGVM Chts'!$A$1</f>
        <v>The University of Texas Rio Grande Valley Medical School (M)</v>
      </c>
      <c r="D1" s="737" t="s">
        <v>1123</v>
      </c>
    </row>
    <row r="2" spans="1:7">
      <c r="B2" s="386" t="str">
        <f>'Smmy Chts'!$A$2</f>
        <v>For the Year Ended August 31, 2018</v>
      </c>
    </row>
    <row r="3" spans="1:7">
      <c r="B3" s="386" t="str">
        <f>'Smmy Chts'!$A$3</f>
        <v>Source: FY 2018 Annual Financial Report</v>
      </c>
    </row>
    <row r="5" spans="1:7" customFormat="1">
      <c r="B5" s="507" t="s">
        <v>624</v>
      </c>
    </row>
    <row r="6" spans="1:7" customFormat="1">
      <c r="B6" s="508"/>
    </row>
    <row r="7" spans="1:7" customFormat="1" ht="226.5" customHeight="1">
      <c r="B7" s="509" t="s">
        <v>625</v>
      </c>
      <c r="C7" s="510"/>
    </row>
    <row r="8" spans="1:7" customFormat="1" ht="263.25" customHeight="1">
      <c r="B8" s="509" t="s">
        <v>626</v>
      </c>
    </row>
    <row r="9" spans="1:7" ht="64.5" customHeight="1">
      <c r="B9" s="511" t="str">
        <f>IF('RGVM FGD'!$S$83="N/A","FN11.  N/A",$B$14&amp;$B$15&amp;$B$16&amp;$B$17&amp;$B$18&amp;$B$19&amp;$B$20&amp;$B$21&amp;$B$22&amp;$B$23&amp;$B$24)</f>
        <v>FN11: Of the net increase of $22,257,940 approximately $21.9 million represents revenues received but not year expended. This income is fully committed to program expenditures and capital disbursements. The remaining $345 thousand represents non-expendable funds from unrealized gains and additions to permanent endowments of approximately $15 thousand and $330 thousand respectively. Unrealized gains and additions to permanent endowments do not contribute to the availability of the institution's operating cash as discussed in FN6 and FN7.</v>
      </c>
      <c r="E9" s="488"/>
      <c r="F9" s="54"/>
    </row>
    <row r="14" spans="1:7">
      <c r="B14" s="54" t="s">
        <v>610</v>
      </c>
      <c r="G14" s="54"/>
    </row>
    <row r="15" spans="1:7">
      <c r="A15" s="53">
        <v>75</v>
      </c>
      <c r="B15" s="488" t="str">
        <f>TEXT(IF('RGVM FGD'!$M$91&lt;0,"N/A",'RGVM FGD'!$M$91),"$* #,##0;$* (#,##0)")</f>
        <v>$22,257,940</v>
      </c>
      <c r="C15" s="453"/>
      <c r="F15" s="453"/>
      <c r="G15" s="54"/>
    </row>
    <row r="16" spans="1:7">
      <c r="B16" s="54" t="s">
        <v>611</v>
      </c>
    </row>
    <row r="17" spans="1:6">
      <c r="A17" s="53">
        <v>68</v>
      </c>
      <c r="B17" s="489" t="str">
        <f>IF(ABS('RGVM FGD'!$S$84)&gt;=1000000,TEXT('RGVM FGD'!$S$84/1000000,"$* #,##0.0;$* (#,##0.0)")&amp;" million",IF(ABS('RGVM FGD'!$S$84)&lt;1000,TEXT('RGVM FGD'!$S$84,"$* #,##0;$* (#,##0)"),TEXT('RGVM FGD'!$S$84/1000,"$* #,##0;$* (#,##0)")&amp;" thousand"))</f>
        <v>$21.9 million</v>
      </c>
      <c r="C17" s="489"/>
      <c r="F17" s="489"/>
    </row>
    <row r="18" spans="1:6">
      <c r="B18" s="54" t="s">
        <v>627</v>
      </c>
    </row>
    <row r="19" spans="1:6">
      <c r="A19" s="53">
        <v>69</v>
      </c>
      <c r="B19" s="53" t="str">
        <f>IF(ABS('RGVM FGD'!$S$85)&gt;=1000000,TEXT('RGVM FGD'!$S$85/1000000,"$* #,##0.0;$* (#,##0.0)")&amp;" million",IF(ABS('RGVM FGD'!$S$85)&lt;1000,TEXT('RGVM FGD'!$S$85,"$* #,##0;$* (#,##0)"),TEXT('RGVM FGD'!$S$85/1000,"$* #,##0;$* (#,##0)")&amp;" thousand"))</f>
        <v>$345 thousand</v>
      </c>
    </row>
    <row r="20" spans="1:6">
      <c r="B20" s="54" t="s">
        <v>612</v>
      </c>
    </row>
    <row r="21" spans="1:6">
      <c r="A21" s="53">
        <v>71</v>
      </c>
      <c r="B21" s="53" t="str">
        <f>IF(ABS('RGVM FGD'!$S$87)&gt;=1000000,TEXT('RGVM FGD'!$S$87/1000000,"$* #,##0.0;$* (#,##0.0)")&amp;" million",IF(ABS('RGVM FGD'!$S$87)&lt;1000,TEXT('RGVM FGD'!$S$87,"$* #,##0;$* (#,##0)"),TEXT('RGVM FGD'!$S$87/1000,"$* #,##0;$* (#,##0)")&amp;" thousand"))</f>
        <v>$15 thousand</v>
      </c>
    </row>
    <row r="22" spans="1:6">
      <c r="B22" s="54" t="s">
        <v>613</v>
      </c>
    </row>
    <row r="23" spans="1:6">
      <c r="A23" s="53">
        <v>73</v>
      </c>
      <c r="B23" s="53" t="str">
        <f>IF(ABS('RGVM FGD'!$S$89)&gt;=1000000,TEXT('RGVM FGD'!$S$89/1000000,"$* #,##0.0;$* (#,##0.0)")&amp;" million",IF(ABS('RGVM FGD'!$S$89)&lt;1000,TEXT('RGVM FGD'!$S$89,"$* #,##0;$* (#,##0)"),TEXT('RGVM FGD'!$S$89/1000,"$* #,##0;$* (#,##0)")&amp;" thousand"))</f>
        <v>$330 thousand</v>
      </c>
    </row>
    <row r="24" spans="1:6">
      <c r="B24" s="54" t="s">
        <v>1188</v>
      </c>
    </row>
  </sheetData>
  <hyperlinks>
    <hyperlink ref="D1" location="Index!A1" display="Return to Index"/>
  </hyperlinks>
  <pageMargins left="0.25" right="0.25" top="0.5" bottom="0.25"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AK783"/>
  <sheetViews>
    <sheetView showGridLines="0" zoomScale="85" zoomScaleNormal="85" workbookViewId="0">
      <pane xSplit="4" ySplit="10" topLeftCell="E11" activePane="bottomRight" state="frozen"/>
      <selection activeCell="C36" sqref="C36"/>
      <selection pane="topRight" activeCell="C36" sqref="C36"/>
      <selection pane="bottomLeft" activeCell="C36" sqref="C36"/>
      <selection pane="bottomRight" activeCell="P1" sqref="P1"/>
    </sheetView>
  </sheetViews>
  <sheetFormatPr defaultRowHeight="12.75"/>
  <cols>
    <col min="1" max="1" width="6.85546875" style="453" customWidth="1"/>
    <col min="2" max="2" width="8.140625" style="53" customWidth="1"/>
    <col min="3" max="3" width="6.7109375" style="53" customWidth="1"/>
    <col min="4" max="4" width="25.140625" style="53" customWidth="1"/>
    <col min="5" max="5" width="15.5703125" style="604" customWidth="1"/>
    <col min="6" max="6" width="15.28515625" style="53" customWidth="1"/>
    <col min="7" max="9" width="13.28515625" style="604" customWidth="1"/>
    <col min="10" max="10" width="14.85546875" style="604" customWidth="1"/>
    <col min="11" max="12" width="13.28515625" style="60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21.28515625" style="53" customWidth="1"/>
    <col min="31" max="31" width="14.7109375" style="53" customWidth="1"/>
    <col min="32" max="32" width="30.7109375" style="53" customWidth="1"/>
    <col min="33" max="33" width="13.28515625" style="453"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02"/>
      <c r="G1" s="103" t="s">
        <v>1468</v>
      </c>
      <c r="H1" s="103"/>
      <c r="I1" s="103"/>
      <c r="J1" s="103"/>
      <c r="K1" s="103"/>
      <c r="L1" s="103"/>
      <c r="M1" s="102"/>
      <c r="P1" s="703" t="s">
        <v>1123</v>
      </c>
    </row>
    <row r="2" spans="1:37">
      <c r="E2" s="102"/>
      <c r="G2" s="103" t="s">
        <v>1501</v>
      </c>
      <c r="H2" s="103"/>
      <c r="I2" s="103"/>
      <c r="J2" s="103"/>
      <c r="K2" s="103"/>
      <c r="L2" s="103"/>
      <c r="M2" s="102"/>
    </row>
    <row r="3" spans="1:37">
      <c r="E3" s="102"/>
      <c r="G3" s="103" t="s">
        <v>1695</v>
      </c>
      <c r="H3" s="103"/>
      <c r="I3" s="103"/>
      <c r="J3" s="103"/>
      <c r="K3" s="103"/>
      <c r="L3" s="103"/>
      <c r="M3" s="102"/>
    </row>
    <row r="4" spans="1:37">
      <c r="A4" s="611" t="s">
        <v>1030</v>
      </c>
      <c r="E4" s="102"/>
      <c r="G4" s="102"/>
      <c r="H4" s="102"/>
      <c r="I4" s="102"/>
      <c r="J4" s="102"/>
      <c r="K4" s="102"/>
      <c r="L4" s="102"/>
      <c r="M4" s="102"/>
    </row>
    <row r="5" spans="1:37">
      <c r="B5" s="259"/>
      <c r="E5" s="102"/>
      <c r="G5" s="102"/>
      <c r="H5" s="102"/>
      <c r="I5" s="102"/>
      <c r="J5" s="102"/>
      <c r="K5" s="102"/>
      <c r="L5" s="102"/>
      <c r="M5" s="102"/>
    </row>
    <row r="6" spans="1:37">
      <c r="B6" s="259"/>
      <c r="E6" s="102"/>
      <c r="G6" s="102"/>
      <c r="H6" s="102"/>
      <c r="I6" s="102"/>
      <c r="J6" s="102"/>
      <c r="K6" s="102"/>
      <c r="L6" s="102"/>
      <c r="M6" s="102"/>
    </row>
    <row r="7" spans="1:37">
      <c r="A7" s="453" t="s">
        <v>1031</v>
      </c>
      <c r="B7" s="259"/>
      <c r="E7" s="102"/>
      <c r="G7" s="102"/>
      <c r="H7" s="102"/>
      <c r="I7" s="102"/>
      <c r="J7" s="102"/>
      <c r="K7" s="102"/>
      <c r="L7" s="102"/>
      <c r="M7" s="102"/>
    </row>
    <row r="8" spans="1:37" ht="13.5" thickBot="1">
      <c r="A8" s="453" t="s">
        <v>1032</v>
      </c>
      <c r="B8" s="259"/>
      <c r="E8" s="453">
        <v>18</v>
      </c>
      <c r="F8" s="453">
        <v>19</v>
      </c>
      <c r="G8" s="453">
        <v>20</v>
      </c>
      <c r="H8" s="453">
        <v>21</v>
      </c>
      <c r="I8" s="453">
        <v>22</v>
      </c>
      <c r="J8" s="453">
        <v>23</v>
      </c>
      <c r="K8" s="453">
        <v>24</v>
      </c>
      <c r="L8" s="453">
        <v>25</v>
      </c>
      <c r="M8" s="453">
        <v>26</v>
      </c>
      <c r="N8" s="453">
        <v>27</v>
      </c>
      <c r="O8" s="453">
        <v>28</v>
      </c>
      <c r="P8" s="453">
        <v>29</v>
      </c>
      <c r="Q8" s="453">
        <v>31</v>
      </c>
      <c r="R8" s="453">
        <v>32</v>
      </c>
      <c r="S8" s="453">
        <v>33</v>
      </c>
      <c r="T8" s="453">
        <v>34</v>
      </c>
      <c r="U8" s="453">
        <v>35</v>
      </c>
      <c r="V8" s="453">
        <v>36</v>
      </c>
      <c r="W8" s="453">
        <v>37</v>
      </c>
      <c r="X8" s="453">
        <v>38</v>
      </c>
      <c r="Y8" s="453">
        <v>39</v>
      </c>
      <c r="Z8" s="453">
        <v>40</v>
      </c>
      <c r="AA8" s="453">
        <v>41</v>
      </c>
      <c r="AB8" s="453">
        <v>42</v>
      </c>
    </row>
    <row r="9" spans="1:37" ht="15.75" customHeight="1">
      <c r="A9" s="453" t="s">
        <v>1044</v>
      </c>
      <c r="B9" s="259"/>
      <c r="C9" s="53" t="s">
        <v>1402</v>
      </c>
      <c r="E9" s="1201" t="s">
        <v>1407</v>
      </c>
      <c r="F9" s="1202"/>
      <c r="G9" s="1202"/>
      <c r="H9" s="1202"/>
      <c r="I9" s="1202"/>
      <c r="J9" s="1202"/>
      <c r="K9" s="1202"/>
      <c r="L9" s="1202"/>
      <c r="M9" s="1202"/>
      <c r="N9" s="1202"/>
      <c r="O9" s="1202"/>
      <c r="P9" s="1202"/>
      <c r="Q9" s="1203" t="s">
        <v>1408</v>
      </c>
      <c r="R9" s="1204"/>
      <c r="S9" s="1204"/>
      <c r="T9" s="1204"/>
      <c r="U9" s="1204"/>
      <c r="V9" s="1204"/>
      <c r="W9" s="1204"/>
      <c r="X9" s="1204"/>
      <c r="Y9" s="1204"/>
      <c r="Z9" s="1204"/>
      <c r="AA9" s="1204"/>
      <c r="AB9" s="1205"/>
      <c r="AC9" s="1055"/>
      <c r="AD9" s="1206" t="s">
        <v>1026</v>
      </c>
      <c r="AE9" s="1207"/>
      <c r="AF9" s="1208"/>
    </row>
    <row r="10" spans="1:37" s="584" customFormat="1" ht="51.75" customHeight="1">
      <c r="A10" s="1056" t="s">
        <v>1035</v>
      </c>
      <c r="B10" s="1054" t="s">
        <v>107</v>
      </c>
      <c r="C10" s="1054" t="s">
        <v>108</v>
      </c>
      <c r="D10" s="1054"/>
      <c r="E10" s="1057" t="s">
        <v>995</v>
      </c>
      <c r="F10" s="1058" t="s">
        <v>1409</v>
      </c>
      <c r="G10" s="1058" t="s">
        <v>1410</v>
      </c>
      <c r="H10" s="1058" t="s">
        <v>1411</v>
      </c>
      <c r="I10" s="1058" t="s">
        <v>1412</v>
      </c>
      <c r="J10" s="1059" t="s">
        <v>642</v>
      </c>
      <c r="K10" s="1058" t="s">
        <v>1413</v>
      </c>
      <c r="L10" s="1058" t="s">
        <v>1414</v>
      </c>
      <c r="M10" s="1058" t="s">
        <v>1415</v>
      </c>
      <c r="N10" s="1058" t="s">
        <v>1415</v>
      </c>
      <c r="O10" s="1058" t="s">
        <v>1416</v>
      </c>
      <c r="P10" s="1060" t="s">
        <v>37</v>
      </c>
      <c r="Q10" s="1057" t="s">
        <v>1005</v>
      </c>
      <c r="R10" s="1058" t="s">
        <v>1409</v>
      </c>
      <c r="S10" s="1058" t="s">
        <v>1410</v>
      </c>
      <c r="T10" s="1058" t="s">
        <v>1411</v>
      </c>
      <c r="U10" s="1058" t="s">
        <v>1412</v>
      </c>
      <c r="V10" s="1059" t="s">
        <v>648</v>
      </c>
      <c r="W10" s="1058" t="s">
        <v>1413</v>
      </c>
      <c r="X10" s="1058" t="s">
        <v>1414</v>
      </c>
      <c r="Y10" s="1058" t="s">
        <v>1417</v>
      </c>
      <c r="Z10" s="1058" t="s">
        <v>1418</v>
      </c>
      <c r="AA10" s="1058" t="s">
        <v>1416</v>
      </c>
      <c r="AB10" s="1061" t="s">
        <v>38</v>
      </c>
      <c r="AC10" s="1062" t="s">
        <v>1008</v>
      </c>
      <c r="AD10" s="1063" t="s">
        <v>226</v>
      </c>
      <c r="AE10" s="593" t="s">
        <v>622</v>
      </c>
      <c r="AF10" s="1064" t="s">
        <v>623</v>
      </c>
      <c r="AG10" s="1065"/>
    </row>
    <row r="11" spans="1:37" ht="12.75" customHeight="1">
      <c r="A11" s="453">
        <v>390</v>
      </c>
      <c r="B11" s="605" t="s">
        <v>109</v>
      </c>
      <c r="C11" s="407" t="str">
        <f t="shared" ref="C11:C22" si="0">$C$9</f>
        <v>FY 17</v>
      </c>
      <c r="D11" s="206" t="s">
        <v>110</v>
      </c>
      <c r="E11" s="1066">
        <f>'SWM FGD'!$M$18</f>
        <v>31732683</v>
      </c>
      <c r="F11" s="847">
        <f>'SWM FGD'!$M$19</f>
        <v>-6456273</v>
      </c>
      <c r="G11" s="847">
        <f>'SWM FGD'!$M$20</f>
        <v>0</v>
      </c>
      <c r="H11" s="847">
        <f>'SWM FGD'!$M$21</f>
        <v>0</v>
      </c>
      <c r="I11" s="847">
        <f>'SWM FGD'!$M$22</f>
        <v>0</v>
      </c>
      <c r="J11" s="847">
        <f>'SWM FGD'!$M$23</f>
        <v>25276410</v>
      </c>
      <c r="K11" s="847">
        <f>'SWM FGD'!$M$24</f>
        <v>0</v>
      </c>
      <c r="L11" s="847">
        <f>'SWM FGD'!$M$25</f>
        <v>0</v>
      </c>
      <c r="M11" s="847">
        <f>'SWM FGD'!$M$26</f>
        <v>-297179</v>
      </c>
      <c r="N11" s="847">
        <f>'SWM FGD'!$M$27</f>
        <v>0</v>
      </c>
      <c r="O11" s="847">
        <f>'SWM FGD'!$M$28</f>
        <v>-400636</v>
      </c>
      <c r="P11" s="847">
        <f>'SWM FGD'!$M$29</f>
        <v>24578595</v>
      </c>
      <c r="Q11" s="1066">
        <f>'SWM FGD'!$M$31</f>
        <v>2634407</v>
      </c>
      <c r="R11" s="847">
        <f>'SWM FGD'!$M$32</f>
        <v>0</v>
      </c>
      <c r="S11" s="847">
        <f>'SWM FGD'!$M$33</f>
        <v>0</v>
      </c>
      <c r="T11" s="847">
        <f>'SWM FGD'!$M$34</f>
        <v>0</v>
      </c>
      <c r="U11" s="847">
        <f>'SWM FGD'!$M$35</f>
        <v>0</v>
      </c>
      <c r="V11" s="847">
        <f>'SWM FGD'!$M$36</f>
        <v>2634407</v>
      </c>
      <c r="W11" s="847">
        <f>'SWM FGD'!$M$37</f>
        <v>0</v>
      </c>
      <c r="X11" s="847">
        <f>'SWM FGD'!$M$38</f>
        <v>0</v>
      </c>
      <c r="Y11" s="847">
        <f>'SWM FGD'!$M$39</f>
        <v>0</v>
      </c>
      <c r="Z11" s="847">
        <f>'SWM FGD'!$M$40</f>
        <v>0</v>
      </c>
      <c r="AA11" s="847">
        <f>'SWM FGD'!$M$41</f>
        <v>-185473</v>
      </c>
      <c r="AB11" s="1067">
        <f>'SWM FGD'!$M$42</f>
        <v>2448934</v>
      </c>
      <c r="AC11" s="1068">
        <f>'SWM FGD'!$M$44</f>
        <v>27027529</v>
      </c>
      <c r="AD11" s="219" t="str">
        <f>'SWM FGD'!$P$103</f>
        <v>John Schmidt</v>
      </c>
      <c r="AE11" s="220" t="str">
        <f>'SWM FGD'!$R$103</f>
        <v>214-648-0888</v>
      </c>
      <c r="AF11" s="223" t="str">
        <f>'SWM FGD'!$U$103</f>
        <v>John.Schmidt@UTSouthwestern.edu</v>
      </c>
      <c r="AG11" s="617" t="str">
        <f>IF(SUM(E11:I11)&lt;&gt;J11,"Error","Balanced")</f>
        <v>Balanced</v>
      </c>
      <c r="AH11" s="617" t="str">
        <f>IF(SUM(J11:O11)&lt;&gt;P11,"Error","Balanced")</f>
        <v>Balanced</v>
      </c>
      <c r="AI11" s="617" t="str">
        <f>IF(SUM(Q11:U11)&lt;&gt;V11,"Error","Balanced")</f>
        <v>Balanced</v>
      </c>
      <c r="AJ11" s="617" t="str">
        <f>IF(SUM(V11:AA11)&lt;&gt;AB11,"Error","Balanced")</f>
        <v>Balanced</v>
      </c>
      <c r="AK11" s="617" t="str">
        <f>IF(P11+AB11&lt;&gt;AC11,"Error","Balanced")</f>
        <v>Balanced</v>
      </c>
    </row>
    <row r="12" spans="1:37">
      <c r="A12" s="453">
        <v>400</v>
      </c>
      <c r="B12" s="605">
        <v>104952</v>
      </c>
      <c r="C12" s="407" t="str">
        <f t="shared" si="0"/>
        <v>FY 17</v>
      </c>
      <c r="D12" s="206" t="s">
        <v>125</v>
      </c>
      <c r="E12" s="1069">
        <f>'MBG FGD'!$M$18</f>
        <v>36801509</v>
      </c>
      <c r="F12" s="952">
        <f>'MBG FGD'!$M$19</f>
        <v>-1266179</v>
      </c>
      <c r="G12" s="952">
        <f>'MBG FGD'!$M$20</f>
        <v>0</v>
      </c>
      <c r="H12" s="952">
        <f>'MBG FGD'!$M$21</f>
        <v>0</v>
      </c>
      <c r="I12" s="952">
        <f>'MBG FGD'!$M$22</f>
        <v>0</v>
      </c>
      <c r="J12" s="952">
        <f>'MBG FGD'!$M$23</f>
        <v>35535330</v>
      </c>
      <c r="K12" s="952">
        <f>'MBG FGD'!$M$24</f>
        <v>0</v>
      </c>
      <c r="L12" s="952">
        <f>'MBG FGD'!$M$25</f>
        <v>0</v>
      </c>
      <c r="M12" s="952">
        <f>'MBG FGD'!$M$26</f>
        <v>-667387</v>
      </c>
      <c r="N12" s="952">
        <f>'MBG FGD'!$M$27</f>
        <v>0</v>
      </c>
      <c r="O12" s="952">
        <f>'MBG FGD'!$M$28</f>
        <v>-1777881</v>
      </c>
      <c r="P12" s="952">
        <f>'MBG FGD'!$M$29</f>
        <v>33090062</v>
      </c>
      <c r="Q12" s="1069">
        <f>'MBG FGD'!$M$31</f>
        <v>8539896</v>
      </c>
      <c r="R12" s="952">
        <f>'MBG FGD'!$M$32</f>
        <v>0</v>
      </c>
      <c r="S12" s="952">
        <f>'MBG FGD'!$M$33</f>
        <v>0</v>
      </c>
      <c r="T12" s="952">
        <f>'MBG FGD'!$M$34</f>
        <v>0</v>
      </c>
      <c r="U12" s="952">
        <f>'MBG FGD'!$M$35</f>
        <v>0</v>
      </c>
      <c r="V12" s="952">
        <f>'MBG FGD'!$M$36</f>
        <v>8539896</v>
      </c>
      <c r="W12" s="952">
        <f>'MBG FGD'!$M$37</f>
        <v>0</v>
      </c>
      <c r="X12" s="952">
        <f>'MBG FGD'!$M$38</f>
        <v>0</v>
      </c>
      <c r="Y12" s="952">
        <f>'MBG FGD'!$M$39</f>
        <v>0</v>
      </c>
      <c r="Z12" s="952">
        <f>'MBG FGD'!$M$40</f>
        <v>0</v>
      </c>
      <c r="AA12" s="952">
        <f>'MBG FGD'!$M$41</f>
        <v>-260996</v>
      </c>
      <c r="AB12" s="1070">
        <f>'MBG FGD'!$M$42</f>
        <v>8278900</v>
      </c>
      <c r="AC12" s="1071">
        <f>'MBG FGD'!$M$44</f>
        <v>41368962</v>
      </c>
      <c r="AD12" s="219" t="str">
        <f>'MBG FGD'!$P$103</f>
        <v>Craig Elmore</v>
      </c>
      <c r="AE12" s="220" t="str">
        <f>'MBG FGD'!$R$103</f>
        <v>409-772-7525</v>
      </c>
      <c r="AF12" s="223" t="str">
        <f>'MBG FGD'!$U$103</f>
        <v>crelmore@utmb.edu</v>
      </c>
      <c r="AG12" s="617" t="str">
        <f t="shared" ref="AG12:AG22" si="1">IF(SUM(E12:I12)&lt;&gt;J12,"Error","Balanced")</f>
        <v>Balanced</v>
      </c>
      <c r="AH12" s="617" t="str">
        <f t="shared" ref="AH12:AH22" si="2">IF(SUM(J12:O12)&lt;&gt;P12,"Error","Balanced")</f>
        <v>Balanced</v>
      </c>
      <c r="AI12" s="617" t="str">
        <f t="shared" ref="AI12:AI22" si="3">IF(SUM(Q12:U12)&lt;&gt;V12,"Error","Balanced")</f>
        <v>Balanced</v>
      </c>
      <c r="AJ12" s="617" t="str">
        <f t="shared" ref="AJ12:AJ22" si="4">IF(SUM(V12:AA12)&lt;&gt;AB12,"Error","Balanced")</f>
        <v>Balanced</v>
      </c>
      <c r="AK12" s="617" t="str">
        <f t="shared" ref="AK12:AK22" si="5">IF(P12+AB12&lt;&gt;AC12,"Error","Balanced")</f>
        <v>Balanced</v>
      </c>
    </row>
    <row r="13" spans="1:37">
      <c r="A13" s="453">
        <v>410</v>
      </c>
      <c r="B13" s="111" t="s">
        <v>121</v>
      </c>
      <c r="C13" s="407" t="str">
        <f t="shared" si="0"/>
        <v>FY 17</v>
      </c>
      <c r="D13" s="113" t="s">
        <v>122</v>
      </c>
      <c r="E13" s="1069">
        <f>'HSH FGD'!$M$18</f>
        <v>53483669</v>
      </c>
      <c r="F13" s="952">
        <f>'HSH FGD'!$M$19</f>
        <v>-7181994</v>
      </c>
      <c r="G13" s="952">
        <f>'HSH FGD'!$M$20</f>
        <v>0</v>
      </c>
      <c r="H13" s="952">
        <f>'HSH FGD'!$M$21</f>
        <v>0</v>
      </c>
      <c r="I13" s="952">
        <f>'HSH FGD'!$M$22</f>
        <v>0</v>
      </c>
      <c r="J13" s="952">
        <f>'HSH FGD'!$M$23</f>
        <v>46301675</v>
      </c>
      <c r="K13" s="952">
        <f>'HSH FGD'!$M$24</f>
        <v>0</v>
      </c>
      <c r="L13" s="952">
        <f>'HSH FGD'!$M$25</f>
        <v>0</v>
      </c>
      <c r="M13" s="952">
        <f>'HSH FGD'!$M$26</f>
        <v>-493550</v>
      </c>
      <c r="N13" s="952">
        <f>'HSH FGD'!$M$27</f>
        <v>0</v>
      </c>
      <c r="O13" s="952">
        <f>'HSH FGD'!$M$28</f>
        <v>-684917</v>
      </c>
      <c r="P13" s="952">
        <f>'HSH FGD'!$M$29</f>
        <v>45123208</v>
      </c>
      <c r="Q13" s="1069">
        <f>'HSH FGD'!$M$31</f>
        <v>11794727</v>
      </c>
      <c r="R13" s="952">
        <f>'HSH FGD'!$M$32</f>
        <v>0</v>
      </c>
      <c r="S13" s="952">
        <f>'HSH FGD'!$M$33</f>
        <v>0</v>
      </c>
      <c r="T13" s="952">
        <f>'HSH FGD'!$M$34</f>
        <v>0</v>
      </c>
      <c r="U13" s="952">
        <f>'HSH FGD'!$M$35</f>
        <v>0</v>
      </c>
      <c r="V13" s="952">
        <f>'HSH FGD'!$M$36</f>
        <v>11794727</v>
      </c>
      <c r="W13" s="952">
        <f>'HSH FGD'!$M$37</f>
        <v>0</v>
      </c>
      <c r="X13" s="952">
        <f>'HSH FGD'!$M$38</f>
        <v>0</v>
      </c>
      <c r="Y13" s="952">
        <f>'HSH FGD'!$M$39</f>
        <v>-230430</v>
      </c>
      <c r="Z13" s="952">
        <f>'HSH FGD'!$M$40</f>
        <v>0</v>
      </c>
      <c r="AA13" s="952">
        <f>'HSH FGD'!$M$41</f>
        <v>-50563</v>
      </c>
      <c r="AB13" s="1070">
        <f>'HSH FGD'!$M$42</f>
        <v>11513734</v>
      </c>
      <c r="AC13" s="1071">
        <f>'HSH FGD'!$M$44</f>
        <v>56636942</v>
      </c>
      <c r="AD13" s="219" t="str">
        <f>'HSH FGD'!$P$103</f>
        <v>Scott Barnett</v>
      </c>
      <c r="AE13" s="220" t="str">
        <f>'HSH FGD'!$R$103</f>
        <v>713/500-4915</v>
      </c>
      <c r="AF13" s="223" t="str">
        <f>'HSH FGD'!$U$103</f>
        <v>Scott.Barnett@uth.tmc.edu</v>
      </c>
      <c r="AG13" s="617" t="str">
        <f t="shared" si="1"/>
        <v>Balanced</v>
      </c>
      <c r="AH13" s="617" t="str">
        <f t="shared" si="2"/>
        <v>Balanced</v>
      </c>
      <c r="AI13" s="617" t="str">
        <f t="shared" si="3"/>
        <v>Balanced</v>
      </c>
      <c r="AJ13" s="617" t="str">
        <f t="shared" si="4"/>
        <v>Balanced</v>
      </c>
      <c r="AK13" s="617" t="str">
        <f t="shared" si="5"/>
        <v>Balanced</v>
      </c>
    </row>
    <row r="14" spans="1:37">
      <c r="A14" s="453">
        <v>420</v>
      </c>
      <c r="B14" s="111" t="s">
        <v>111</v>
      </c>
      <c r="C14" s="407" t="str">
        <f t="shared" si="0"/>
        <v>FY 17</v>
      </c>
      <c r="D14" s="113" t="s">
        <v>112</v>
      </c>
      <c r="E14" s="1069">
        <f>'HSSA FGD'!$M$18</f>
        <v>53244508</v>
      </c>
      <c r="F14" s="952">
        <f>'HSSA FGD'!$M$19</f>
        <v>-5360496</v>
      </c>
      <c r="G14" s="952">
        <f>'HSSA FGD'!$M$20</f>
        <v>0</v>
      </c>
      <c r="H14" s="952">
        <f>'HSSA FGD'!$M$21</f>
        <v>0</v>
      </c>
      <c r="I14" s="952">
        <f>'HSSA FGD'!$M$22</f>
        <v>0</v>
      </c>
      <c r="J14" s="952">
        <f>'HSSA FGD'!$M$23</f>
        <v>47884012</v>
      </c>
      <c r="K14" s="952">
        <f>'HSSA FGD'!$M$24</f>
        <v>0</v>
      </c>
      <c r="L14" s="952">
        <f>'HSSA FGD'!$M$25</f>
        <v>0</v>
      </c>
      <c r="M14" s="952">
        <f>'HSSA FGD'!$M$26</f>
        <v>-1190020</v>
      </c>
      <c r="N14" s="952">
        <f>'HSSA FGD'!$M$27</f>
        <v>0</v>
      </c>
      <c r="O14" s="952">
        <f>'HSSA FGD'!$M$28</f>
        <v>-3086263</v>
      </c>
      <c r="P14" s="952">
        <f>'HSSA FGD'!$M$29</f>
        <v>43607729</v>
      </c>
      <c r="Q14" s="1069">
        <f>'HSSA FGD'!$M$31</f>
        <v>2815216</v>
      </c>
      <c r="R14" s="952">
        <f>'HSSA FGD'!$M$32</f>
        <v>0</v>
      </c>
      <c r="S14" s="952">
        <f>'HSSA FGD'!$M$33</f>
        <v>0</v>
      </c>
      <c r="T14" s="952">
        <f>'HSSA FGD'!$M$34</f>
        <v>0</v>
      </c>
      <c r="U14" s="952">
        <f>'HSSA FGD'!$M$35</f>
        <v>0</v>
      </c>
      <c r="V14" s="952">
        <f>'HSSA FGD'!$M$36</f>
        <v>2815216</v>
      </c>
      <c r="W14" s="952">
        <f>'HSSA FGD'!$M$37</f>
        <v>0</v>
      </c>
      <c r="X14" s="952">
        <f>'HSSA FGD'!$M$38</f>
        <v>0</v>
      </c>
      <c r="Y14" s="952">
        <f>'HSSA FGD'!$M$39</f>
        <v>-132224</v>
      </c>
      <c r="Z14" s="952">
        <f>'HSSA FGD'!$M$40</f>
        <v>0</v>
      </c>
      <c r="AA14" s="952">
        <f>'HSSA FGD'!$M$41</f>
        <v>-342918</v>
      </c>
      <c r="AB14" s="1070">
        <f>'HSSA FGD'!$M$42</f>
        <v>2340074</v>
      </c>
      <c r="AC14" s="1071">
        <f>'HSSA FGD'!$M$44</f>
        <v>45947803</v>
      </c>
      <c r="AD14" s="219" t="str">
        <f>'HSSA FGD'!$P$103</f>
        <v>Yinwen Li</v>
      </c>
      <c r="AE14" s="220" t="str">
        <f>'HSSA FGD'!$R$103</f>
        <v>(210) 562-6268</v>
      </c>
      <c r="AF14" s="223" t="str">
        <f>'HSSA FGD'!$U$103</f>
        <v>LIY2@uthscsa.edu</v>
      </c>
      <c r="AG14" s="617" t="str">
        <f t="shared" si="1"/>
        <v>Balanced</v>
      </c>
      <c r="AH14" s="617" t="str">
        <f t="shared" si="2"/>
        <v>Balanced</v>
      </c>
      <c r="AI14" s="617" t="str">
        <f t="shared" si="3"/>
        <v>Balanced</v>
      </c>
      <c r="AJ14" s="617" t="str">
        <f t="shared" si="4"/>
        <v>Balanced</v>
      </c>
      <c r="AK14" s="617" t="str">
        <f t="shared" si="5"/>
        <v>Balanced</v>
      </c>
    </row>
    <row r="15" spans="1:37">
      <c r="A15" s="453">
        <v>430</v>
      </c>
      <c r="B15" s="111" t="s">
        <v>123</v>
      </c>
      <c r="C15" s="407" t="str">
        <f t="shared" si="0"/>
        <v>FY 17</v>
      </c>
      <c r="D15" s="113" t="s">
        <v>124</v>
      </c>
      <c r="E15" s="1069">
        <f>'MDA FGD'!$M$18</f>
        <v>1239174</v>
      </c>
      <c r="F15" s="952">
        <f>'MDA FGD'!$M$19</f>
        <v>-239990</v>
      </c>
      <c r="G15" s="952">
        <f>'MDA FGD'!$M$20</f>
        <v>0</v>
      </c>
      <c r="H15" s="952">
        <f>'MDA FGD'!$M$21</f>
        <v>0</v>
      </c>
      <c r="I15" s="952">
        <f>'MDA FGD'!$M$22</f>
        <v>0</v>
      </c>
      <c r="J15" s="952">
        <f>'MDA FGD'!$M$23</f>
        <v>999184</v>
      </c>
      <c r="K15" s="952">
        <f>'MDA FGD'!$M$24</f>
        <v>0</v>
      </c>
      <c r="L15" s="952">
        <f>'MDA FGD'!$M$25</f>
        <v>0</v>
      </c>
      <c r="M15" s="952">
        <f>'MDA FGD'!$M$26</f>
        <v>-9200</v>
      </c>
      <c r="N15" s="952">
        <f>'MDA FGD'!$M$27</f>
        <v>-8648</v>
      </c>
      <c r="O15" s="952">
        <f>'MDA FGD'!$M$28</f>
        <v>0</v>
      </c>
      <c r="P15" s="952">
        <f>'MDA FGD'!$M$29</f>
        <v>981336</v>
      </c>
      <c r="Q15" s="1069">
        <f>'MDA FGD'!$M$31</f>
        <v>134722</v>
      </c>
      <c r="R15" s="952">
        <f>'MDA FGD'!$M$32</f>
        <v>0</v>
      </c>
      <c r="S15" s="952">
        <f>'MDA FGD'!$M$33</f>
        <v>0</v>
      </c>
      <c r="T15" s="952">
        <f>'MDA FGD'!$M$34</f>
        <v>0</v>
      </c>
      <c r="U15" s="952">
        <f>'MDA FGD'!$M$35</f>
        <v>0</v>
      </c>
      <c r="V15" s="952">
        <f>'MDA FGD'!$M$36</f>
        <v>134722</v>
      </c>
      <c r="W15" s="952">
        <f>'MDA FGD'!$M$37</f>
        <v>0</v>
      </c>
      <c r="X15" s="952">
        <f>'MDA FGD'!$M$38</f>
        <v>0</v>
      </c>
      <c r="Y15" s="952">
        <f>'MDA FGD'!$M$39</f>
        <v>0</v>
      </c>
      <c r="Z15" s="952">
        <f>'MDA FGD'!$M$40</f>
        <v>-2573</v>
      </c>
      <c r="AA15" s="952">
        <f>'MDA FGD'!$M$41</f>
        <v>0</v>
      </c>
      <c r="AB15" s="1070">
        <f>'MDA FGD'!$M$42</f>
        <v>132149</v>
      </c>
      <c r="AC15" s="1071">
        <f>'MDA FGD'!$M$44</f>
        <v>1113485</v>
      </c>
      <c r="AD15" s="219" t="str">
        <f>'MDA FGD'!$P$103</f>
        <v>MARIA AGNES  D. CRUZ</v>
      </c>
      <c r="AE15" s="220" t="str">
        <f>'MDA FGD'!$R$103</f>
        <v>713-745-9518</v>
      </c>
      <c r="AF15" s="223" t="str">
        <f>'MDA FGD'!$U$103</f>
        <v>mcruz@mdanderson.org</v>
      </c>
      <c r="AG15" s="617" t="str">
        <f t="shared" si="1"/>
        <v>Balanced</v>
      </c>
      <c r="AH15" s="617" t="str">
        <f t="shared" si="2"/>
        <v>Balanced</v>
      </c>
      <c r="AI15" s="617" t="str">
        <f t="shared" si="3"/>
        <v>Balanced</v>
      </c>
      <c r="AJ15" s="617" t="str">
        <f t="shared" si="4"/>
        <v>Balanced</v>
      </c>
      <c r="AK15" s="617" t="str">
        <f t="shared" si="5"/>
        <v>Balanced</v>
      </c>
    </row>
    <row r="16" spans="1:37">
      <c r="A16" s="453">
        <v>440</v>
      </c>
      <c r="B16" s="801">
        <v>42439</v>
      </c>
      <c r="C16" s="407" t="str">
        <f t="shared" si="0"/>
        <v>FY 17</v>
      </c>
      <c r="D16" s="113" t="s">
        <v>1300</v>
      </c>
      <c r="E16" s="1069">
        <f>'THC FGD'!$M$18</f>
        <v>261280</v>
      </c>
      <c r="F16" s="952">
        <f>'THC FGD'!$M$19</f>
        <v>-58100</v>
      </c>
      <c r="G16" s="952">
        <f>'THC FGD'!$M$20</f>
        <v>-49140</v>
      </c>
      <c r="H16" s="952">
        <f>'THC FGD'!$M$21</f>
        <v>0</v>
      </c>
      <c r="I16" s="952">
        <f>'THC FGD'!$M$22</f>
        <v>0</v>
      </c>
      <c r="J16" s="952">
        <f>'THC FGD'!$M$23</f>
        <v>154040</v>
      </c>
      <c r="K16" s="952">
        <f>'THC FGD'!$M$24</f>
        <v>0</v>
      </c>
      <c r="L16" s="952">
        <f>'THC FGD'!$M$25</f>
        <v>0</v>
      </c>
      <c r="M16" s="952">
        <f>'THC FGD'!$M$26</f>
        <v>0</v>
      </c>
      <c r="N16" s="952">
        <f>'THC FGD'!$M$27</f>
        <v>0</v>
      </c>
      <c r="O16" s="952">
        <f>'THC FGD'!$M$28</f>
        <v>0</v>
      </c>
      <c r="P16" s="952">
        <f>'THC FGD'!$M$29</f>
        <v>154040</v>
      </c>
      <c r="Q16" s="1069">
        <f>'THC FGD'!$M$31</f>
        <v>28927</v>
      </c>
      <c r="R16" s="952">
        <f>'THC FGD'!$M$32</f>
        <v>0</v>
      </c>
      <c r="S16" s="952">
        <f>'THC FGD'!$M$33</f>
        <v>0</v>
      </c>
      <c r="T16" s="952">
        <f>'THC FGD'!$M$34</f>
        <v>0</v>
      </c>
      <c r="U16" s="952">
        <f>'THC FGD'!$M$35</f>
        <v>0</v>
      </c>
      <c r="V16" s="952">
        <f>'THC FGD'!$M$36</f>
        <v>28927</v>
      </c>
      <c r="W16" s="952">
        <f>'THC FGD'!$M$37</f>
        <v>0</v>
      </c>
      <c r="X16" s="952">
        <f>'THC FGD'!$M$38</f>
        <v>0</v>
      </c>
      <c r="Y16" s="952">
        <f>'THC FGD'!$M$39</f>
        <v>0</v>
      </c>
      <c r="Z16" s="952">
        <f>'THC FGD'!$M$40</f>
        <v>0</v>
      </c>
      <c r="AA16" s="952">
        <f>'THC FGD'!$M$41</f>
        <v>0</v>
      </c>
      <c r="AB16" s="1070">
        <f>'THC FGD'!$M$42</f>
        <v>28927</v>
      </c>
      <c r="AC16" s="1071">
        <f>'THC FGD'!$M$44</f>
        <v>182967</v>
      </c>
      <c r="AD16" s="219" t="str">
        <f>'THC FGD'!$P$103</f>
        <v>Natalie Harms</v>
      </c>
      <c r="AE16" s="220" t="str">
        <f>'THC FGD'!$R$103</f>
        <v>(903) 877-7855</v>
      </c>
      <c r="AF16" s="223" t="str">
        <f>'THC FGD'!$U$103</f>
        <v>natalie.harms@uthct.edu</v>
      </c>
      <c r="AG16" s="617" t="str">
        <f t="shared" si="1"/>
        <v>Balanced</v>
      </c>
      <c r="AH16" s="617" t="str">
        <f t="shared" si="2"/>
        <v>Balanced</v>
      </c>
      <c r="AI16" s="617" t="str">
        <f t="shared" si="3"/>
        <v>Balanced</v>
      </c>
      <c r="AJ16" s="617" t="str">
        <f t="shared" si="4"/>
        <v>Balanced</v>
      </c>
      <c r="AK16" s="617" t="str">
        <f t="shared" si="5"/>
        <v>Balanced</v>
      </c>
    </row>
    <row r="17" spans="1:37">
      <c r="A17" s="453">
        <v>450</v>
      </c>
      <c r="B17" s="111" t="s">
        <v>113</v>
      </c>
      <c r="C17" s="407" t="str">
        <f t="shared" si="0"/>
        <v>FY 17</v>
      </c>
      <c r="D17" s="113" t="s">
        <v>114</v>
      </c>
      <c r="E17" s="1069">
        <f>'TAMHSC FGD'!$M$18</f>
        <v>30362146</v>
      </c>
      <c r="F17" s="952">
        <f>'TAMHSC FGD'!$M$19</f>
        <v>-2589708</v>
      </c>
      <c r="G17" s="952">
        <f>'TAMHSC FGD'!$M$20</f>
        <v>0</v>
      </c>
      <c r="H17" s="952">
        <f>'TAMHSC FGD'!$M$21</f>
        <v>0</v>
      </c>
      <c r="I17" s="952">
        <f>'TAMHSC FGD'!$M$22</f>
        <v>0</v>
      </c>
      <c r="J17" s="952">
        <f>'TAMHSC FGD'!$M$23</f>
        <v>27772438</v>
      </c>
      <c r="K17" s="952">
        <f>'TAMHSC FGD'!$M$24</f>
        <v>0</v>
      </c>
      <c r="L17" s="952">
        <f>'TAMHSC FGD'!$M$25</f>
        <v>0</v>
      </c>
      <c r="M17" s="952">
        <f>'TAMHSC FGD'!$M$26</f>
        <v>-419462</v>
      </c>
      <c r="N17" s="952">
        <f>'TAMHSC FGD'!$M$27</f>
        <v>0</v>
      </c>
      <c r="O17" s="952">
        <f>'TAMHSC FGD'!$M$28</f>
        <v>-2072655</v>
      </c>
      <c r="P17" s="952">
        <f>'TAMHSC FGD'!$M$29</f>
        <v>25280321</v>
      </c>
      <c r="Q17" s="1069">
        <f>'TAMHSC FGD'!$M$31</f>
        <v>14139084</v>
      </c>
      <c r="R17" s="952">
        <f>'TAMHSC FGD'!$M$32</f>
        <v>0</v>
      </c>
      <c r="S17" s="952">
        <f>'TAMHSC FGD'!$M$33</f>
        <v>0</v>
      </c>
      <c r="T17" s="952">
        <f>'TAMHSC FGD'!$M$34</f>
        <v>0</v>
      </c>
      <c r="U17" s="952">
        <f>'TAMHSC FGD'!$M$35</f>
        <v>0</v>
      </c>
      <c r="V17" s="952">
        <f>'TAMHSC FGD'!$M$36</f>
        <v>14139084</v>
      </c>
      <c r="W17" s="952">
        <f>'TAMHSC FGD'!$M$37</f>
        <v>0</v>
      </c>
      <c r="X17" s="952">
        <f>'TAMHSC FGD'!$M$38</f>
        <v>0</v>
      </c>
      <c r="Y17" s="952">
        <f>'TAMHSC FGD'!$M$39</f>
        <v>-271987</v>
      </c>
      <c r="Z17" s="952">
        <f>'TAMHSC FGD'!$M$40</f>
        <v>0</v>
      </c>
      <c r="AA17" s="952">
        <f>'TAMHSC FGD'!$M$41</f>
        <v>-996762</v>
      </c>
      <c r="AB17" s="1070">
        <f>'TAMHSC FGD'!$M$42</f>
        <v>12870335</v>
      </c>
      <c r="AC17" s="1071">
        <f>'TAMHSC FGD'!$M$44</f>
        <v>38150656</v>
      </c>
      <c r="AD17" s="219" t="str">
        <f>'TAMHSC FGD'!$P$103</f>
        <v>Monica Poehl</v>
      </c>
      <c r="AE17" s="220" t="str">
        <f>'TAMHSC FGD'!$R$103</f>
        <v>979-458-6090</v>
      </c>
      <c r="AF17" s="223" t="str">
        <f>'TAMHSC FGD'!$U$103</f>
        <v>mpoehl@tamus.edu</v>
      </c>
      <c r="AG17" s="617" t="str">
        <f t="shared" si="1"/>
        <v>Balanced</v>
      </c>
      <c r="AH17" s="617" t="str">
        <f t="shared" si="2"/>
        <v>Balanced</v>
      </c>
      <c r="AI17" s="617" t="str">
        <f t="shared" si="3"/>
        <v>Balanced</v>
      </c>
      <c r="AJ17" s="617" t="str">
        <f t="shared" si="4"/>
        <v>Balanced</v>
      </c>
      <c r="AK17" s="617" t="str">
        <f t="shared" si="5"/>
        <v>Balanced</v>
      </c>
    </row>
    <row r="18" spans="1:37">
      <c r="A18" s="453">
        <v>460</v>
      </c>
      <c r="B18" s="111" t="s">
        <v>115</v>
      </c>
      <c r="C18" s="407" t="str">
        <f t="shared" si="0"/>
        <v>FY 17</v>
      </c>
      <c r="D18" s="113" t="s">
        <v>116</v>
      </c>
      <c r="E18" s="1069">
        <f>'UNTHSC FGD'!$M$18</f>
        <v>25601848</v>
      </c>
      <c r="F18" s="952">
        <f>'UNTHSC FGD'!$M$19</f>
        <v>0</v>
      </c>
      <c r="G18" s="952">
        <f>'UNTHSC FGD'!$M$20</f>
        <v>-1738486</v>
      </c>
      <c r="H18" s="952">
        <f>'UNTHSC FGD'!$M$21</f>
        <v>0</v>
      </c>
      <c r="I18" s="952">
        <f>'UNTHSC FGD'!$M$22</f>
        <v>0</v>
      </c>
      <c r="J18" s="952">
        <f>'UNTHSC FGD'!$M$23</f>
        <v>23863362</v>
      </c>
      <c r="K18" s="952">
        <f>'UNTHSC FGD'!$M$24</f>
        <v>0</v>
      </c>
      <c r="L18" s="952">
        <f>'UNTHSC FGD'!$M$25</f>
        <v>0</v>
      </c>
      <c r="M18" s="952">
        <f>'UNTHSC FGD'!$M$26</f>
        <v>0</v>
      </c>
      <c r="N18" s="952">
        <f>'UNTHSC FGD'!$M$27</f>
        <v>0</v>
      </c>
      <c r="O18" s="952">
        <f>'UNTHSC FGD'!$M$28</f>
        <v>-2313156</v>
      </c>
      <c r="P18" s="952">
        <f>'UNTHSC FGD'!$M$29</f>
        <v>21550206</v>
      </c>
      <c r="Q18" s="1069">
        <f>'UNTHSC FGD'!$M$31</f>
        <v>8683955</v>
      </c>
      <c r="R18" s="952">
        <f>'UNTHSC FGD'!$M$32</f>
        <v>0</v>
      </c>
      <c r="S18" s="952">
        <f>'UNTHSC FGD'!$M$33</f>
        <v>0</v>
      </c>
      <c r="T18" s="952">
        <f>'UNTHSC FGD'!$M$34</f>
        <v>0</v>
      </c>
      <c r="U18" s="952">
        <f>'UNTHSC FGD'!$M$35</f>
        <v>0</v>
      </c>
      <c r="V18" s="952">
        <f>'UNTHSC FGD'!$M$36</f>
        <v>8683955</v>
      </c>
      <c r="W18" s="952">
        <f>'UNTHSC FGD'!$M$37</f>
        <v>0</v>
      </c>
      <c r="X18" s="952">
        <f>'UNTHSC FGD'!$M$38</f>
        <v>0</v>
      </c>
      <c r="Y18" s="952">
        <f>'UNTHSC FGD'!$M$39</f>
        <v>0</v>
      </c>
      <c r="Z18" s="952">
        <f>'UNTHSC FGD'!$M$40</f>
        <v>0</v>
      </c>
      <c r="AA18" s="952">
        <f>'UNTHSC FGD'!$M$41</f>
        <v>-423279</v>
      </c>
      <c r="AB18" s="1070">
        <f>'UNTHSC FGD'!$M$42</f>
        <v>8260676</v>
      </c>
      <c r="AC18" s="1071">
        <f>'UNTHSC FGD'!$M$44</f>
        <v>29810882</v>
      </c>
      <c r="AD18" s="219" t="str">
        <f>'UNTHSC FGD'!$P$103</f>
        <v>Julie Meisinger</v>
      </c>
      <c r="AE18" s="220" t="str">
        <f>'UNTHSC FGD'!$R$103</f>
        <v>817-735-2609</v>
      </c>
      <c r="AF18" s="223" t="str">
        <f>'UNTHSC FGD'!$U$103</f>
        <v>julie.meisinger@untsystem.edu</v>
      </c>
      <c r="AG18" s="617" t="str">
        <f t="shared" si="1"/>
        <v>Balanced</v>
      </c>
      <c r="AH18" s="617" t="str">
        <f t="shared" si="2"/>
        <v>Balanced</v>
      </c>
      <c r="AI18" s="617" t="str">
        <f t="shared" si="3"/>
        <v>Balanced</v>
      </c>
      <c r="AJ18" s="617" t="str">
        <f t="shared" si="4"/>
        <v>Balanced</v>
      </c>
      <c r="AK18" s="617" t="str">
        <f t="shared" si="5"/>
        <v>Balanced</v>
      </c>
    </row>
    <row r="19" spans="1:37">
      <c r="A19" s="376">
        <v>470</v>
      </c>
      <c r="B19" s="801">
        <v>412</v>
      </c>
      <c r="C19" s="950" t="str">
        <f t="shared" si="0"/>
        <v>FY 17</v>
      </c>
      <c r="D19" s="206" t="s">
        <v>120</v>
      </c>
      <c r="E19" s="1069">
        <f>'TTUHSC FGD'!$M$18</f>
        <v>48250495</v>
      </c>
      <c r="F19" s="952">
        <f>'TTUHSC FGD'!$M$19</f>
        <v>-3137114</v>
      </c>
      <c r="G19" s="952">
        <f>'TTUHSC FGD'!$M$20</f>
        <v>0</v>
      </c>
      <c r="H19" s="952">
        <f>'TTUHSC FGD'!$M$21</f>
        <v>0</v>
      </c>
      <c r="I19" s="952">
        <f>'TTUHSC FGD'!$M$22</f>
        <v>0</v>
      </c>
      <c r="J19" s="952">
        <f>'TTUHSC FGD'!$M$23</f>
        <v>45113381</v>
      </c>
      <c r="K19" s="952">
        <f>'TTUHSC FGD'!$M$24</f>
        <v>0</v>
      </c>
      <c r="L19" s="952">
        <f>'TTUHSC FGD'!$M$25</f>
        <v>0</v>
      </c>
      <c r="M19" s="952">
        <f>'TTUHSC FGD'!$M$26</f>
        <v>-1471237</v>
      </c>
      <c r="N19" s="952">
        <f>'TTUHSC FGD'!$M$27</f>
        <v>0</v>
      </c>
      <c r="O19" s="952">
        <f>'TTUHSC FGD'!$M$28</f>
        <v>-4862077</v>
      </c>
      <c r="P19" s="952">
        <f>'TTUHSC FGD'!$M$29</f>
        <v>38780067</v>
      </c>
      <c r="Q19" s="1069">
        <f>'TTUHSC FGD'!$M$31</f>
        <v>14189019</v>
      </c>
      <c r="R19" s="952">
        <f>'TTUHSC FGD'!$M$32</f>
        <v>0</v>
      </c>
      <c r="S19" s="952">
        <f>'TTUHSC FGD'!$M$33</f>
        <v>0</v>
      </c>
      <c r="T19" s="952">
        <f>'TTUHSC FGD'!$M$34</f>
        <v>0</v>
      </c>
      <c r="U19" s="952">
        <f>'TTUHSC FGD'!$M$35</f>
        <v>0</v>
      </c>
      <c r="V19" s="952">
        <f>'TTUHSC FGD'!$M$36</f>
        <v>14189019</v>
      </c>
      <c r="W19" s="952">
        <f>'TTUHSC FGD'!$M$37</f>
        <v>0</v>
      </c>
      <c r="X19" s="952">
        <f>'TTUHSC FGD'!$M$38</f>
        <v>0</v>
      </c>
      <c r="Y19" s="952">
        <f>'TTUHSC FGD'!$M$39</f>
        <v>-978275</v>
      </c>
      <c r="Z19" s="952">
        <f>'TTUHSC FGD'!$M$40</f>
        <v>0</v>
      </c>
      <c r="AA19" s="952">
        <f>'TTUHSC FGD'!$M$41</f>
        <v>0</v>
      </c>
      <c r="AB19" s="1070">
        <f>'TTUHSC FGD'!$M$42</f>
        <v>13210744</v>
      </c>
      <c r="AC19" s="1071">
        <f>'TTUHSC FGD'!$M$44</f>
        <v>51990811</v>
      </c>
      <c r="AD19" s="219" t="str">
        <f>'TTUHSC FGD'!$P$103</f>
        <v>Rebecca Aguilar</v>
      </c>
      <c r="AE19" s="220" t="str">
        <f>'TTUHSC FGD'!$R$103</f>
        <v>(806) 743-7381</v>
      </c>
      <c r="AF19" s="223" t="str">
        <f>'TTUHSC FGD'!$U$103</f>
        <v>rebecca.aguilar@ttuhsc.edu</v>
      </c>
      <c r="AG19" s="617" t="str">
        <f t="shared" si="1"/>
        <v>Balanced</v>
      </c>
      <c r="AH19" s="617" t="str">
        <f t="shared" si="2"/>
        <v>Balanced</v>
      </c>
      <c r="AI19" s="617" t="str">
        <f t="shared" si="3"/>
        <v>Balanced</v>
      </c>
      <c r="AJ19" s="617" t="str">
        <f t="shared" si="4"/>
        <v>Balanced</v>
      </c>
      <c r="AK19" s="617" t="str">
        <f t="shared" si="5"/>
        <v>Balanced</v>
      </c>
    </row>
    <row r="20" spans="1:37">
      <c r="A20" s="453">
        <v>480</v>
      </c>
      <c r="B20" s="801">
        <v>862</v>
      </c>
      <c r="C20" s="950" t="str">
        <f t="shared" si="0"/>
        <v>FY 17</v>
      </c>
      <c r="D20" s="206" t="s">
        <v>1324</v>
      </c>
      <c r="E20" s="1069">
        <f>'TTUHSCEP FGD'!$M$18</f>
        <v>8449769</v>
      </c>
      <c r="F20" s="952">
        <f>'TTUHSCEP FGD'!$M$19</f>
        <v>-251045</v>
      </c>
      <c r="G20" s="952">
        <f>'TTUHSCEP FGD'!$M$20</f>
        <v>0</v>
      </c>
      <c r="H20" s="952">
        <f>'TTUHSCEP FGD'!$M$21</f>
        <v>0</v>
      </c>
      <c r="I20" s="952">
        <f>'TTUHSCEP FGD'!$M$22</f>
        <v>0</v>
      </c>
      <c r="J20" s="952">
        <f>'TTUHSCEP FGD'!$M$23</f>
        <v>8198724</v>
      </c>
      <c r="K20" s="952">
        <f>'TTUHSCEP FGD'!$M$24</f>
        <v>0</v>
      </c>
      <c r="L20" s="952">
        <f>'TTUHSCEP FGD'!$M$25</f>
        <v>0</v>
      </c>
      <c r="M20" s="952">
        <f>'TTUHSCEP FGD'!$M$26</f>
        <v>-187888</v>
      </c>
      <c r="N20" s="952">
        <f>'TTUHSCEP FGD'!$M$27</f>
        <v>0</v>
      </c>
      <c r="O20" s="952">
        <f>'TTUHSCEP FGD'!$M$28</f>
        <v>-1436920</v>
      </c>
      <c r="P20" s="952">
        <f>'TTUHSCEP FGD'!$M$29</f>
        <v>6573916</v>
      </c>
      <c r="Q20" s="1069">
        <f>'TTUHSCEP FGD'!$M$31</f>
        <v>2611631</v>
      </c>
      <c r="R20" s="952">
        <f>'TTUHSCEP FGD'!$M$32</f>
        <v>0</v>
      </c>
      <c r="S20" s="952">
        <f>'TTUHSCEP FGD'!$M$33</f>
        <v>0</v>
      </c>
      <c r="T20" s="952">
        <f>'TTUHSCEP FGD'!$M$34</f>
        <v>0</v>
      </c>
      <c r="U20" s="952">
        <f>'TTUHSCEP FGD'!$M$35</f>
        <v>0</v>
      </c>
      <c r="V20" s="952">
        <f>'TTUHSCEP FGD'!$M$36</f>
        <v>2611631</v>
      </c>
      <c r="W20" s="952">
        <f>'TTUHSCEP FGD'!$M$37</f>
        <v>0</v>
      </c>
      <c r="X20" s="952">
        <f>'TTUHSCEP FGD'!$M$38</f>
        <v>0</v>
      </c>
      <c r="Y20" s="952">
        <f>'TTUHSCEP FGD'!$M$39</f>
        <v>-193977</v>
      </c>
      <c r="Z20" s="952">
        <f>'TTUHSCEP FGD'!$M$40</f>
        <v>0</v>
      </c>
      <c r="AA20" s="952">
        <f>'TTUHSCEP FGD'!$M$41</f>
        <v>0</v>
      </c>
      <c r="AB20" s="1070">
        <f>'TTUHSCEP FGD'!$M$42</f>
        <v>2417654</v>
      </c>
      <c r="AC20" s="1071">
        <f>'TTUHSCEP FGD'!$M$44</f>
        <v>8991570</v>
      </c>
      <c r="AD20" s="219" t="str">
        <f>'TTUHSCEP FGD'!$P$103</f>
        <v>Sandra Tapia</v>
      </c>
      <c r="AE20" s="220" t="str">
        <f>'TTUHSCEP FGD'!$R$103</f>
        <v>915-215-4790</v>
      </c>
      <c r="AF20" s="223" t="str">
        <f>'TTUHSCEP FGD'!$U$103</f>
        <v>Sandra.tapia@ttuhsc.edu</v>
      </c>
      <c r="AG20" s="617" t="str">
        <f t="shared" si="1"/>
        <v>Balanced</v>
      </c>
      <c r="AH20" s="617" t="str">
        <f t="shared" si="2"/>
        <v>Balanced</v>
      </c>
      <c r="AI20" s="617" t="str">
        <f t="shared" si="3"/>
        <v>Balanced</v>
      </c>
      <c r="AJ20" s="617" t="str">
        <f t="shared" si="4"/>
        <v>Balanced</v>
      </c>
      <c r="AK20" s="617" t="str">
        <f t="shared" si="5"/>
        <v>Balanced</v>
      </c>
    </row>
    <row r="21" spans="1:37">
      <c r="A21" s="453">
        <v>500</v>
      </c>
      <c r="B21" s="801">
        <v>203658</v>
      </c>
      <c r="C21" s="950" t="str">
        <f t="shared" si="0"/>
        <v>FY 17</v>
      </c>
      <c r="D21" s="113" t="s">
        <v>1318</v>
      </c>
      <c r="E21" s="1069">
        <f>'AUSM FGD'!$M$18</f>
        <v>2297617</v>
      </c>
      <c r="F21" s="952">
        <f>'AUSM FGD'!$M$19</f>
        <v>0</v>
      </c>
      <c r="G21" s="952">
        <f>'AUSM FGD'!$M$20</f>
        <v>0</v>
      </c>
      <c r="H21" s="952">
        <f>'AUSM FGD'!$M$21</f>
        <v>0</v>
      </c>
      <c r="I21" s="952">
        <f>'AUSM FGD'!$M$22</f>
        <v>0</v>
      </c>
      <c r="J21" s="952">
        <f>'AUSM FGD'!$M$23</f>
        <v>2297617</v>
      </c>
      <c r="K21" s="952">
        <f>'AUSM FGD'!$M$24</f>
        <v>0</v>
      </c>
      <c r="L21" s="952">
        <f>'AUSM FGD'!$M$25</f>
        <v>0</v>
      </c>
      <c r="M21" s="952">
        <f>'AUSM FGD'!$M$26</f>
        <v>0</v>
      </c>
      <c r="N21" s="952">
        <f>'AUSM FGD'!$M$27</f>
        <v>0</v>
      </c>
      <c r="O21" s="952">
        <f>'AUSM FGD'!$M$28</f>
        <v>-207731</v>
      </c>
      <c r="P21" s="952">
        <f>'AUSM FGD'!$M$29</f>
        <v>2089886</v>
      </c>
      <c r="Q21" s="1069">
        <f>'AUSM FGD'!$M$31</f>
        <v>574247</v>
      </c>
      <c r="R21" s="952">
        <f>'AUSM FGD'!$M$32</f>
        <v>0</v>
      </c>
      <c r="S21" s="952">
        <f>'AUSM FGD'!$M$33</f>
        <v>0</v>
      </c>
      <c r="T21" s="952">
        <f>'AUSM FGD'!$M$34</f>
        <v>0</v>
      </c>
      <c r="U21" s="952">
        <f>'AUSM FGD'!$M$35</f>
        <v>0</v>
      </c>
      <c r="V21" s="952">
        <f>'AUSM FGD'!$M$36</f>
        <v>574247</v>
      </c>
      <c r="W21" s="952">
        <f>'AUSM FGD'!$M$37</f>
        <v>0</v>
      </c>
      <c r="X21" s="952">
        <f>'AUSM FGD'!$M$38</f>
        <v>0</v>
      </c>
      <c r="Y21" s="952">
        <f>'AUSM FGD'!$M$39</f>
        <v>0</v>
      </c>
      <c r="Z21" s="952">
        <f>'AUSM FGD'!$M$40</f>
        <v>0</v>
      </c>
      <c r="AA21" s="952">
        <f>'AUSM FGD'!$M$41</f>
        <v>-126472</v>
      </c>
      <c r="AB21" s="1070">
        <f>'AUSM FGD'!$M$42</f>
        <v>447775</v>
      </c>
      <c r="AC21" s="1071">
        <f>'AUSM FGD'!$M$44</f>
        <v>2537661</v>
      </c>
      <c r="AD21" s="1072" t="str">
        <f>'AUSM FGD'!$P$103</f>
        <v>Marcy Lowther</v>
      </c>
      <c r="AE21" s="220" t="str">
        <f>'AUSM FGD'!$R$103</f>
        <v>512-471-2808</v>
      </c>
      <c r="AF21" s="223" t="str">
        <f>'AUSM FGD'!$U$103</f>
        <v>mlowther@austin.utexas.edu</v>
      </c>
      <c r="AG21" s="617" t="str">
        <f t="shared" si="1"/>
        <v>Balanced</v>
      </c>
      <c r="AH21" s="617" t="str">
        <f t="shared" si="2"/>
        <v>Balanced</v>
      </c>
      <c r="AI21" s="617" t="str">
        <f t="shared" si="3"/>
        <v>Balanced</v>
      </c>
      <c r="AJ21" s="617" t="str">
        <f t="shared" si="4"/>
        <v>Balanced</v>
      </c>
      <c r="AK21" s="617" t="str">
        <f t="shared" si="5"/>
        <v>Balanced</v>
      </c>
    </row>
    <row r="22" spans="1:37">
      <c r="A22" s="453">
        <v>510</v>
      </c>
      <c r="B22" s="801">
        <v>203599</v>
      </c>
      <c r="C22" s="950" t="str">
        <f t="shared" si="0"/>
        <v>FY 17</v>
      </c>
      <c r="D22" s="113" t="s">
        <v>1319</v>
      </c>
      <c r="E22" s="1069">
        <f>'RGVM FGD'!$M$18</f>
        <v>1955451</v>
      </c>
      <c r="F22" s="952">
        <f>'RGVM FGD'!$M$19</f>
        <v>-152970</v>
      </c>
      <c r="G22" s="952">
        <f>'RGVM FGD'!$M$20</f>
        <v>0</v>
      </c>
      <c r="H22" s="952">
        <f>'RGVM FGD'!$M$21</f>
        <v>0</v>
      </c>
      <c r="I22" s="952">
        <f>'RGVM FGD'!$M$22</f>
        <v>0</v>
      </c>
      <c r="J22" s="952">
        <f>'RGVM FGD'!$M$23</f>
        <v>1802481</v>
      </c>
      <c r="K22" s="952">
        <f>'RGVM FGD'!$M$24</f>
        <v>0</v>
      </c>
      <c r="L22" s="952">
        <f>'RGVM FGD'!$M$25</f>
        <v>0</v>
      </c>
      <c r="M22" s="952">
        <f>'RGVM FGD'!$M$26</f>
        <v>-9611</v>
      </c>
      <c r="N22" s="952">
        <f>'RGVM FGD'!$M$27</f>
        <v>0</v>
      </c>
      <c r="O22" s="952">
        <f>'RGVM FGD'!$M$28</f>
        <v>0</v>
      </c>
      <c r="P22" s="952">
        <f>'RGVM FGD'!$M$29</f>
        <v>1792870</v>
      </c>
      <c r="Q22" s="1069">
        <f>'RGVM FGD'!$M$31</f>
        <v>453641</v>
      </c>
      <c r="R22" s="952">
        <f>'RGVM FGD'!$M$32</f>
        <v>0</v>
      </c>
      <c r="S22" s="952">
        <f>'RGVM FGD'!$M$33</f>
        <v>0</v>
      </c>
      <c r="T22" s="952">
        <f>'RGVM FGD'!$M$34</f>
        <v>0</v>
      </c>
      <c r="U22" s="952">
        <f>'RGVM FGD'!$M$35</f>
        <v>0</v>
      </c>
      <c r="V22" s="952">
        <f>'RGVM FGD'!$M$36</f>
        <v>453641</v>
      </c>
      <c r="W22" s="952">
        <f>'RGVM FGD'!$M$37</f>
        <v>0</v>
      </c>
      <c r="X22" s="952">
        <f>'RGVM FGD'!$M$38</f>
        <v>0</v>
      </c>
      <c r="Y22" s="952">
        <f>'RGVM FGD'!$M$39</f>
        <v>0</v>
      </c>
      <c r="Z22" s="952">
        <f>'RGVM FGD'!$M$40</f>
        <v>0</v>
      </c>
      <c r="AA22" s="952">
        <f>'RGVM FGD'!$M$41</f>
        <v>0</v>
      </c>
      <c r="AB22" s="1070">
        <f>'RGVM FGD'!$M$42</f>
        <v>453641</v>
      </c>
      <c r="AC22" s="1071">
        <f>'RGVM FGD'!$M$44</f>
        <v>2246511</v>
      </c>
      <c r="AD22" s="1072" t="str">
        <f>'RGVM FGD'!$P$103</f>
        <v>Lilia M. St. Clair</v>
      </c>
      <c r="AE22" s="220" t="str">
        <f>'RGVM FGD'!$R$103</f>
        <v>956-665-7906</v>
      </c>
      <c r="AF22" s="223" t="str">
        <f>'RGVM FGD'!$U$103</f>
        <v>lilia.stclair@utrgv.edu</v>
      </c>
      <c r="AG22" s="617" t="str">
        <f t="shared" si="1"/>
        <v>Balanced</v>
      </c>
      <c r="AH22" s="617" t="str">
        <f t="shared" si="2"/>
        <v>Balanced</v>
      </c>
      <c r="AI22" s="617" t="str">
        <f t="shared" si="3"/>
        <v>Balanced</v>
      </c>
      <c r="AJ22" s="617" t="str">
        <f t="shared" si="4"/>
        <v>Balanced</v>
      </c>
      <c r="AK22" s="617" t="str">
        <f t="shared" si="5"/>
        <v>Balanced</v>
      </c>
    </row>
    <row r="23" spans="1:37" ht="13.5" thickBot="1">
      <c r="B23" s="1008"/>
      <c r="C23" s="1073"/>
      <c r="E23" s="1069"/>
      <c r="F23" s="952"/>
      <c r="G23" s="952"/>
      <c r="H23" s="952"/>
      <c r="I23" s="952"/>
      <c r="J23" s="952"/>
      <c r="K23" s="952"/>
      <c r="L23" s="952"/>
      <c r="M23" s="952"/>
      <c r="N23" s="952"/>
      <c r="O23" s="952"/>
      <c r="P23" s="952"/>
      <c r="Q23" s="1069"/>
      <c r="R23" s="952"/>
      <c r="S23" s="952"/>
      <c r="T23" s="952"/>
      <c r="U23" s="952"/>
      <c r="V23" s="952"/>
      <c r="W23" s="952"/>
      <c r="X23" s="952"/>
      <c r="Y23" s="952"/>
      <c r="Z23" s="952"/>
      <c r="AA23" s="952"/>
      <c r="AB23" s="1070"/>
      <c r="AC23" s="1074"/>
      <c r="AD23" s="1075"/>
      <c r="AE23" s="1076"/>
      <c r="AF23" s="1077"/>
      <c r="AG23" s="617"/>
      <c r="AH23" s="617"/>
      <c r="AI23" s="617"/>
      <c r="AJ23" s="617"/>
      <c r="AK23" s="617"/>
    </row>
    <row r="24" spans="1:37" ht="13.5" thickBot="1">
      <c r="A24" s="599"/>
      <c r="B24" s="802"/>
      <c r="C24" s="599">
        <f>COUNTA(C11:C23)</f>
        <v>12</v>
      </c>
      <c r="D24" s="600" t="s">
        <v>126</v>
      </c>
      <c r="E24" s="618">
        <f t="shared" ref="E24:AC24" si="6">SUM(E11:E23)</f>
        <v>293680149</v>
      </c>
      <c r="F24" s="618">
        <f t="shared" si="6"/>
        <v>-26693869</v>
      </c>
      <c r="G24" s="618">
        <f t="shared" si="6"/>
        <v>-1787626</v>
      </c>
      <c r="H24" s="618">
        <f t="shared" si="6"/>
        <v>0</v>
      </c>
      <c r="I24" s="618">
        <f t="shared" si="6"/>
        <v>0</v>
      </c>
      <c r="J24" s="618">
        <f t="shared" si="6"/>
        <v>265198654</v>
      </c>
      <c r="K24" s="618">
        <f t="shared" si="6"/>
        <v>0</v>
      </c>
      <c r="L24" s="618">
        <f t="shared" si="6"/>
        <v>0</v>
      </c>
      <c r="M24" s="618">
        <f t="shared" si="6"/>
        <v>-4745534</v>
      </c>
      <c r="N24" s="618">
        <f t="shared" si="6"/>
        <v>-8648</v>
      </c>
      <c r="O24" s="618">
        <f t="shared" si="6"/>
        <v>-16842236</v>
      </c>
      <c r="P24" s="618">
        <f t="shared" si="6"/>
        <v>243602236</v>
      </c>
      <c r="Q24" s="618">
        <f t="shared" si="6"/>
        <v>66599472</v>
      </c>
      <c r="R24" s="618">
        <f t="shared" si="6"/>
        <v>0</v>
      </c>
      <c r="S24" s="618">
        <f t="shared" si="6"/>
        <v>0</v>
      </c>
      <c r="T24" s="618">
        <f t="shared" si="6"/>
        <v>0</v>
      </c>
      <c r="U24" s="618">
        <f t="shared" si="6"/>
        <v>0</v>
      </c>
      <c r="V24" s="618">
        <f t="shared" si="6"/>
        <v>66599472</v>
      </c>
      <c r="W24" s="618">
        <f t="shared" si="6"/>
        <v>0</v>
      </c>
      <c r="X24" s="618">
        <f t="shared" si="6"/>
        <v>0</v>
      </c>
      <c r="Y24" s="618">
        <f t="shared" si="6"/>
        <v>-1806893</v>
      </c>
      <c r="Z24" s="618">
        <f t="shared" si="6"/>
        <v>-2573</v>
      </c>
      <c r="AA24" s="618">
        <f t="shared" si="6"/>
        <v>-2386463</v>
      </c>
      <c r="AB24" s="618">
        <f t="shared" si="6"/>
        <v>62403543</v>
      </c>
      <c r="AC24" s="1078">
        <f t="shared" si="6"/>
        <v>306005779</v>
      </c>
    </row>
    <row r="25" spans="1:37" s="102" customFormat="1" ht="13.5" thickTop="1">
      <c r="A25" s="101"/>
      <c r="AG25" s="101"/>
    </row>
    <row r="26" spans="1:37" s="102" customFormat="1">
      <c r="A26" s="101"/>
      <c r="B26" s="1079"/>
      <c r="C26" s="102" t="s">
        <v>1419</v>
      </c>
      <c r="AG26" s="101"/>
    </row>
    <row r="27" spans="1:37" s="102" customFormat="1">
      <c r="A27" s="101"/>
      <c r="D27" s="132"/>
      <c r="AG27" s="101"/>
    </row>
    <row r="28" spans="1:37" s="102" customFormat="1">
      <c r="A28" s="101"/>
      <c r="B28" s="1079"/>
      <c r="AC28" s="101" t="str">
        <f>IF(AC24&lt;&gt;'Smmy FGD'!$M$416,"Error","Balanced")</f>
        <v>Balanced</v>
      </c>
      <c r="AG28" s="101"/>
    </row>
    <row r="29" spans="1:37" s="102" customFormat="1">
      <c r="A29" s="101"/>
      <c r="AG29" s="101"/>
    </row>
    <row r="30" spans="1:37" s="102" customFormat="1">
      <c r="A30" s="101"/>
      <c r="AG30" s="101"/>
    </row>
    <row r="31" spans="1:37" s="102" customFormat="1">
      <c r="A31" s="101"/>
      <c r="AG31" s="101"/>
    </row>
    <row r="32" spans="1:37" s="102" customFormat="1">
      <c r="A32" s="101"/>
      <c r="AG32" s="101"/>
    </row>
    <row r="33" spans="1:33" s="102" customFormat="1">
      <c r="A33" s="101"/>
      <c r="AG33" s="101"/>
    </row>
    <row r="34" spans="1:33" s="102" customFormat="1">
      <c r="A34" s="101"/>
      <c r="AG34" s="101"/>
    </row>
    <row r="35" spans="1:33" s="102" customFormat="1">
      <c r="A35" s="101"/>
      <c r="AG35" s="101"/>
    </row>
    <row r="36" spans="1:33" s="102" customFormat="1">
      <c r="A36" s="101"/>
      <c r="AG36" s="101"/>
    </row>
    <row r="37" spans="1:33" s="102" customFormat="1">
      <c r="A37" s="101"/>
      <c r="AG37" s="101"/>
    </row>
    <row r="38" spans="1:33" s="102" customFormat="1">
      <c r="A38" s="101"/>
      <c r="B38" s="101"/>
      <c r="C38" s="104"/>
      <c r="AG38" s="101"/>
    </row>
    <row r="39" spans="1:33" s="102" customFormat="1">
      <c r="A39" s="101"/>
      <c r="B39" s="101"/>
      <c r="F39" s="104"/>
      <c r="AG39" s="101"/>
    </row>
    <row r="40" spans="1:33" s="102" customFormat="1">
      <c r="A40" s="101"/>
      <c r="B40" s="53"/>
      <c r="C40" s="53"/>
      <c r="D40" s="53"/>
      <c r="E40" s="596"/>
      <c r="F40" s="596"/>
      <c r="AG40" s="101"/>
    </row>
    <row r="41" spans="1:33" s="102" customFormat="1">
      <c r="A41" s="101"/>
      <c r="B41" s="53"/>
      <c r="C41" s="53"/>
      <c r="D41" s="53"/>
      <c r="E41" s="596"/>
      <c r="F41" s="596"/>
      <c r="AG41" s="101"/>
    </row>
    <row r="42" spans="1:33" s="102" customFormat="1">
      <c r="A42" s="101"/>
      <c r="B42" s="53"/>
      <c r="C42" s="53"/>
      <c r="D42" s="53"/>
      <c r="E42" s="596"/>
      <c r="F42" s="596"/>
      <c r="AG42" s="101"/>
    </row>
    <row r="43" spans="1:33" s="102" customFormat="1" ht="13.5" thickBot="1">
      <c r="A43" s="101"/>
      <c r="B43" s="53"/>
      <c r="C43" s="53"/>
      <c r="D43" s="53" t="s">
        <v>1420</v>
      </c>
      <c r="E43" s="618">
        <v>293680149</v>
      </c>
      <c r="F43" s="619">
        <v>-26693869</v>
      </c>
      <c r="G43" s="618">
        <v>-1787626</v>
      </c>
      <c r="H43" s="618">
        <v>0</v>
      </c>
      <c r="I43" s="618">
        <v>0</v>
      </c>
      <c r="J43" s="618">
        <v>265198654</v>
      </c>
      <c r="K43" s="618">
        <v>0</v>
      </c>
      <c r="L43" s="618">
        <v>0</v>
      </c>
      <c r="M43" s="618">
        <v>-4745534</v>
      </c>
      <c r="N43" s="618">
        <v>-8648</v>
      </c>
      <c r="O43" s="618">
        <v>-16842236</v>
      </c>
      <c r="P43" s="618">
        <v>243602236</v>
      </c>
      <c r="Q43" s="618">
        <v>66599472</v>
      </c>
      <c r="R43" s="618">
        <v>0</v>
      </c>
      <c r="S43" s="618">
        <v>0</v>
      </c>
      <c r="T43" s="618">
        <v>0</v>
      </c>
      <c r="U43" s="618">
        <v>0</v>
      </c>
      <c r="V43" s="618">
        <v>66599472</v>
      </c>
      <c r="W43" s="618">
        <v>0</v>
      </c>
      <c r="X43" s="618">
        <v>0</v>
      </c>
      <c r="Y43" s="618">
        <v>-1806893</v>
      </c>
      <c r="Z43" s="618">
        <v>-2573</v>
      </c>
      <c r="AA43" s="618">
        <v>-2386463</v>
      </c>
      <c r="AB43" s="618">
        <v>62403543</v>
      </c>
      <c r="AC43" s="618">
        <v>306005779</v>
      </c>
      <c r="AG43" s="101"/>
    </row>
    <row r="44" spans="1:33" s="102" customFormat="1" ht="13.5" thickTop="1">
      <c r="A44" s="101"/>
      <c r="B44" s="1080" t="s">
        <v>1423</v>
      </c>
      <c r="C44" s="53"/>
      <c r="D44" s="53"/>
      <c r="E44" s="596"/>
      <c r="F44" s="596"/>
      <c r="AG44" s="101"/>
    </row>
    <row r="45" spans="1:33" s="102" customFormat="1">
      <c r="A45" s="101"/>
      <c r="C45" s="1080"/>
      <c r="D45" s="1080">
        <v>43448</v>
      </c>
      <c r="E45" s="596">
        <f>E43-E24</f>
        <v>0</v>
      </c>
      <c r="F45" s="596">
        <f t="shared" ref="F45:AC45" si="7">F43-F24</f>
        <v>0</v>
      </c>
      <c r="G45" s="596">
        <f t="shared" si="7"/>
        <v>0</v>
      </c>
      <c r="H45" s="596"/>
      <c r="I45" s="596"/>
      <c r="J45" s="596"/>
      <c r="K45" s="596"/>
      <c r="L45" s="596"/>
      <c r="M45" s="596">
        <f t="shared" si="7"/>
        <v>0</v>
      </c>
      <c r="N45" s="596">
        <f t="shared" si="7"/>
        <v>0</v>
      </c>
      <c r="O45" s="596">
        <f t="shared" si="7"/>
        <v>0</v>
      </c>
      <c r="P45" s="596">
        <f t="shared" si="7"/>
        <v>0</v>
      </c>
      <c r="Q45" s="596">
        <f t="shared" si="7"/>
        <v>0</v>
      </c>
      <c r="R45" s="596">
        <f t="shared" si="7"/>
        <v>0</v>
      </c>
      <c r="S45" s="596">
        <f t="shared" si="7"/>
        <v>0</v>
      </c>
      <c r="T45" s="596">
        <f t="shared" si="7"/>
        <v>0</v>
      </c>
      <c r="U45" s="596">
        <f t="shared" si="7"/>
        <v>0</v>
      </c>
      <c r="V45" s="596">
        <f t="shared" si="7"/>
        <v>0</v>
      </c>
      <c r="W45" s="596">
        <f t="shared" si="7"/>
        <v>0</v>
      </c>
      <c r="X45" s="596">
        <f t="shared" si="7"/>
        <v>0</v>
      </c>
      <c r="Y45" s="596">
        <f t="shared" si="7"/>
        <v>0</v>
      </c>
      <c r="Z45" s="596">
        <f t="shared" si="7"/>
        <v>0</v>
      </c>
      <c r="AA45" s="596">
        <f t="shared" si="7"/>
        <v>0</v>
      </c>
      <c r="AB45" s="596">
        <f t="shared" si="7"/>
        <v>0</v>
      </c>
      <c r="AC45" s="596">
        <f t="shared" si="7"/>
        <v>0</v>
      </c>
      <c r="AG45" s="101"/>
    </row>
    <row r="46" spans="1:33" s="102" customFormat="1">
      <c r="A46" s="101"/>
      <c r="AG46" s="101"/>
    </row>
    <row r="47" spans="1:33" s="102" customFormat="1">
      <c r="A47" s="101"/>
      <c r="AG47" s="101"/>
    </row>
    <row r="48" spans="1:33" s="102" customFormat="1">
      <c r="A48" s="101"/>
      <c r="AG48" s="101"/>
    </row>
    <row r="49" spans="1:33" s="102" customFormat="1">
      <c r="A49" s="101"/>
      <c r="AG49" s="101"/>
    </row>
    <row r="50" spans="1:33" s="102" customFormat="1">
      <c r="A50" s="101"/>
      <c r="AG50" s="101"/>
    </row>
    <row r="51" spans="1:33" s="102" customFormat="1">
      <c r="A51" s="101"/>
      <c r="AG51" s="101"/>
    </row>
    <row r="52" spans="1:33" s="102" customFormat="1">
      <c r="A52" s="101"/>
      <c r="AG52" s="101"/>
    </row>
    <row r="53" spans="1:33" s="102" customFormat="1">
      <c r="A53" s="101"/>
      <c r="AG53" s="101"/>
    </row>
    <row r="54" spans="1:33" s="102" customFormat="1">
      <c r="A54" s="101"/>
      <c r="AG54" s="101"/>
    </row>
    <row r="55" spans="1:33" s="102" customFormat="1">
      <c r="A55" s="101"/>
      <c r="AG55" s="101"/>
    </row>
    <row r="56" spans="1:33" s="102" customFormat="1">
      <c r="A56" s="101"/>
      <c r="AG56" s="101"/>
    </row>
    <row r="57" spans="1:33" s="102" customFormat="1">
      <c r="A57" s="101"/>
      <c r="AG57" s="101"/>
    </row>
    <row r="58" spans="1:33" s="102" customFormat="1">
      <c r="A58" s="101"/>
      <c r="AG58" s="101"/>
    </row>
    <row r="59" spans="1:33" s="102" customFormat="1">
      <c r="A59" s="101"/>
      <c r="AG59" s="101"/>
    </row>
    <row r="60" spans="1:33" s="102" customFormat="1">
      <c r="A60" s="101"/>
      <c r="AG60" s="101"/>
    </row>
    <row r="61" spans="1:33" s="102" customFormat="1">
      <c r="A61" s="101"/>
      <c r="AG61" s="101"/>
    </row>
    <row r="62" spans="1:33" s="102" customFormat="1">
      <c r="A62" s="101"/>
      <c r="AG62" s="101"/>
    </row>
    <row r="63" spans="1:33" s="102" customFormat="1">
      <c r="A63" s="101"/>
      <c r="AG63" s="101"/>
    </row>
    <row r="64" spans="1:33" s="102" customFormat="1">
      <c r="A64" s="101"/>
      <c r="AG64" s="101"/>
    </row>
    <row r="65" spans="1:33" s="102" customFormat="1">
      <c r="A65" s="101"/>
      <c r="AG65" s="101"/>
    </row>
    <row r="66" spans="1:33" s="102" customFormat="1">
      <c r="A66" s="101"/>
      <c r="AG66" s="101"/>
    </row>
    <row r="67" spans="1:33" s="102" customFormat="1">
      <c r="A67" s="101"/>
      <c r="AG67" s="101"/>
    </row>
    <row r="68" spans="1:33" s="102" customFormat="1">
      <c r="A68" s="101"/>
      <c r="AG68" s="101"/>
    </row>
    <row r="69" spans="1:33" s="102" customFormat="1">
      <c r="A69" s="101"/>
      <c r="AG69" s="101"/>
    </row>
    <row r="70" spans="1:33" s="102" customFormat="1">
      <c r="A70" s="101"/>
      <c r="AG70" s="101"/>
    </row>
    <row r="71" spans="1:33" s="102" customFormat="1">
      <c r="A71" s="101"/>
      <c r="AG71" s="101"/>
    </row>
    <row r="72" spans="1:33" s="102" customFormat="1">
      <c r="A72" s="101"/>
      <c r="AG72" s="101"/>
    </row>
    <row r="73" spans="1:33" s="102" customFormat="1">
      <c r="A73" s="101"/>
      <c r="AG73" s="101"/>
    </row>
    <row r="74" spans="1:33" s="102" customFormat="1">
      <c r="A74" s="101"/>
      <c r="AG74" s="101"/>
    </row>
    <row r="75" spans="1:33" s="102" customFormat="1">
      <c r="A75" s="101"/>
      <c r="AG75" s="101"/>
    </row>
    <row r="76" spans="1:33" s="102" customFormat="1">
      <c r="A76" s="101"/>
      <c r="AG76" s="101"/>
    </row>
    <row r="77" spans="1:33" s="102" customFormat="1">
      <c r="A77" s="101"/>
      <c r="AG77" s="101"/>
    </row>
    <row r="78" spans="1:33" s="102" customFormat="1">
      <c r="A78" s="101"/>
      <c r="AG78" s="101"/>
    </row>
    <row r="79" spans="1:33" s="102" customFormat="1">
      <c r="A79" s="101"/>
      <c r="AG79" s="101"/>
    </row>
    <row r="80" spans="1:33" s="102" customFormat="1">
      <c r="A80" s="101"/>
      <c r="AG80" s="101"/>
    </row>
    <row r="81" spans="1:33" s="102" customFormat="1">
      <c r="A81" s="101"/>
      <c r="AG81" s="101"/>
    </row>
    <row r="82" spans="1:33" s="102" customFormat="1">
      <c r="A82" s="101"/>
      <c r="AG82" s="101"/>
    </row>
    <row r="83" spans="1:33" s="102" customFormat="1">
      <c r="A83" s="101"/>
      <c r="AG83" s="101"/>
    </row>
    <row r="84" spans="1:33" s="102" customFormat="1">
      <c r="A84" s="101"/>
      <c r="AG84" s="101"/>
    </row>
    <row r="85" spans="1:33" s="102" customFormat="1">
      <c r="A85" s="101"/>
      <c r="AG85" s="101"/>
    </row>
    <row r="86" spans="1:33" s="102" customFormat="1">
      <c r="A86" s="101"/>
      <c r="AG86" s="101"/>
    </row>
    <row r="87" spans="1:33" s="102" customFormat="1">
      <c r="A87" s="101"/>
      <c r="AG87" s="101"/>
    </row>
    <row r="88" spans="1:33" s="102" customFormat="1">
      <c r="A88" s="101"/>
      <c r="AG88" s="101"/>
    </row>
    <row r="89" spans="1:33" s="102" customFormat="1">
      <c r="A89" s="101"/>
      <c r="AG89" s="101"/>
    </row>
    <row r="90" spans="1:33" s="102" customFormat="1">
      <c r="A90" s="101"/>
      <c r="AG90" s="101"/>
    </row>
    <row r="91" spans="1:33" s="102" customFormat="1">
      <c r="A91" s="101"/>
      <c r="AG91" s="101"/>
    </row>
    <row r="92" spans="1:33" s="102" customFormat="1">
      <c r="A92" s="101"/>
      <c r="AG92" s="101"/>
    </row>
    <row r="93" spans="1:33" s="102" customFormat="1">
      <c r="A93" s="101"/>
      <c r="AG93" s="101"/>
    </row>
    <row r="94" spans="1:33" s="102" customFormat="1">
      <c r="A94" s="101"/>
      <c r="AG94" s="101"/>
    </row>
    <row r="95" spans="1:33" s="102" customFormat="1">
      <c r="A95" s="101"/>
      <c r="AG95" s="101"/>
    </row>
    <row r="96" spans="1:33" s="102" customFormat="1">
      <c r="A96" s="101"/>
      <c r="AG96" s="101"/>
    </row>
    <row r="97" spans="1:33" s="102" customFormat="1">
      <c r="A97" s="101"/>
      <c r="AG97" s="101"/>
    </row>
    <row r="98" spans="1:33" s="102" customFormat="1">
      <c r="A98" s="101"/>
      <c r="AG98" s="101"/>
    </row>
    <row r="99" spans="1:33" s="102" customFormat="1">
      <c r="A99" s="101"/>
      <c r="AG99" s="101"/>
    </row>
    <row r="100" spans="1:33" s="102" customFormat="1">
      <c r="A100" s="101"/>
      <c r="AG100" s="101"/>
    </row>
    <row r="101" spans="1:33" s="102" customFormat="1">
      <c r="A101" s="101"/>
      <c r="AG101" s="101"/>
    </row>
    <row r="102" spans="1:33" s="102" customFormat="1">
      <c r="A102" s="101"/>
      <c r="AG102" s="101"/>
    </row>
    <row r="103" spans="1:33" s="102" customFormat="1">
      <c r="A103" s="101"/>
      <c r="AG103" s="101"/>
    </row>
    <row r="104" spans="1:33" s="102" customFormat="1">
      <c r="A104" s="101"/>
      <c r="AG104" s="101"/>
    </row>
    <row r="105" spans="1:33" s="102" customFormat="1">
      <c r="A105" s="101"/>
      <c r="AG105" s="101"/>
    </row>
    <row r="106" spans="1:33" s="102" customFormat="1">
      <c r="A106" s="101"/>
      <c r="AG106" s="101"/>
    </row>
    <row r="107" spans="1:33" s="102" customFormat="1">
      <c r="A107" s="101"/>
      <c r="AG107" s="101"/>
    </row>
    <row r="108" spans="1:33" s="102" customFormat="1">
      <c r="A108" s="101"/>
      <c r="AG108" s="101"/>
    </row>
    <row r="109" spans="1:33" s="102" customFormat="1">
      <c r="A109" s="101"/>
      <c r="AG109" s="101"/>
    </row>
    <row r="110" spans="1:33" s="102" customFormat="1">
      <c r="A110" s="101"/>
      <c r="AG110" s="101"/>
    </row>
    <row r="111" spans="1:33" s="102" customFormat="1">
      <c r="A111" s="101"/>
      <c r="AG111" s="101"/>
    </row>
    <row r="112" spans="1:33" s="102" customFormat="1">
      <c r="A112" s="101"/>
      <c r="AG112" s="101"/>
    </row>
    <row r="113" spans="1:33" s="102" customFormat="1">
      <c r="A113" s="101"/>
      <c r="AG113" s="101"/>
    </row>
    <row r="114" spans="1:33" s="102" customFormat="1">
      <c r="A114" s="101"/>
      <c r="AG114" s="101"/>
    </row>
    <row r="115" spans="1:33" s="102" customFormat="1">
      <c r="A115" s="101"/>
      <c r="AG115" s="101"/>
    </row>
    <row r="116" spans="1:33" s="102" customFormat="1">
      <c r="A116" s="101"/>
      <c r="AG116" s="101"/>
    </row>
    <row r="117" spans="1:33" s="102" customFormat="1">
      <c r="A117" s="101"/>
      <c r="AG117" s="101"/>
    </row>
    <row r="118" spans="1:33" s="102" customFormat="1">
      <c r="A118" s="101"/>
      <c r="AG118" s="101"/>
    </row>
    <row r="119" spans="1:33" s="102" customFormat="1">
      <c r="A119" s="101"/>
      <c r="AG119" s="101"/>
    </row>
    <row r="120" spans="1:33" s="102" customFormat="1">
      <c r="A120" s="101"/>
      <c r="AG120" s="101"/>
    </row>
    <row r="121" spans="1:33" s="102" customFormat="1">
      <c r="A121" s="101"/>
      <c r="AG121" s="101"/>
    </row>
    <row r="122" spans="1:33" s="102" customFormat="1">
      <c r="A122" s="101"/>
      <c r="AG122" s="101"/>
    </row>
    <row r="123" spans="1:33" s="102" customFormat="1">
      <c r="A123" s="101"/>
      <c r="AG123" s="101"/>
    </row>
    <row r="124" spans="1:33" s="102" customFormat="1">
      <c r="A124" s="101"/>
      <c r="AG124" s="101"/>
    </row>
    <row r="125" spans="1:33" s="102" customFormat="1">
      <c r="A125" s="101"/>
      <c r="AG125" s="101"/>
    </row>
    <row r="126" spans="1:33" s="102" customFormat="1">
      <c r="A126" s="101"/>
      <c r="AG126" s="101"/>
    </row>
    <row r="127" spans="1:33" s="102" customFormat="1">
      <c r="A127" s="101"/>
      <c r="AG127" s="101"/>
    </row>
    <row r="128" spans="1:33" s="102" customFormat="1">
      <c r="A128" s="101"/>
      <c r="AG128" s="101"/>
    </row>
    <row r="129" spans="1:33" s="102" customFormat="1">
      <c r="A129" s="101"/>
      <c r="AG129" s="101"/>
    </row>
    <row r="130" spans="1:33" s="102" customFormat="1">
      <c r="A130" s="101"/>
      <c r="AG130" s="101"/>
    </row>
    <row r="131" spans="1:33" s="102" customFormat="1">
      <c r="A131" s="101"/>
      <c r="AG131" s="101"/>
    </row>
    <row r="132" spans="1:33" s="102" customFormat="1">
      <c r="A132" s="101"/>
      <c r="AG132" s="101"/>
    </row>
    <row r="133" spans="1:33" s="102" customFormat="1">
      <c r="A133" s="101"/>
      <c r="AG133" s="101"/>
    </row>
    <row r="134" spans="1:33" s="102" customFormat="1">
      <c r="A134" s="101"/>
      <c r="AG134" s="101"/>
    </row>
    <row r="135" spans="1:33" s="102" customFormat="1">
      <c r="A135" s="101"/>
      <c r="AG135" s="101"/>
    </row>
    <row r="136" spans="1:33" s="102" customFormat="1">
      <c r="A136" s="101"/>
      <c r="AG136" s="101"/>
    </row>
    <row r="137" spans="1:33" s="102" customFormat="1">
      <c r="A137" s="101"/>
      <c r="AG137" s="101"/>
    </row>
    <row r="138" spans="1:33" s="102" customFormat="1">
      <c r="A138" s="101"/>
      <c r="AG138" s="101"/>
    </row>
    <row r="139" spans="1:33" s="102" customFormat="1">
      <c r="A139" s="101"/>
      <c r="AG139" s="101"/>
    </row>
    <row r="140" spans="1:33" s="102" customFormat="1">
      <c r="A140" s="101"/>
      <c r="AG140" s="101"/>
    </row>
    <row r="141" spans="1:33" s="102" customFormat="1">
      <c r="A141" s="101"/>
      <c r="AG141" s="101"/>
    </row>
    <row r="142" spans="1:33" s="102" customFormat="1">
      <c r="A142" s="101"/>
      <c r="AG142" s="101"/>
    </row>
    <row r="143" spans="1:33" s="102" customFormat="1">
      <c r="A143" s="101"/>
      <c r="AG143" s="101"/>
    </row>
    <row r="144" spans="1:33" s="102" customFormat="1">
      <c r="A144" s="101"/>
      <c r="AG144" s="101"/>
    </row>
    <row r="145" spans="1:33" s="102" customFormat="1">
      <c r="A145" s="101"/>
      <c r="AG145" s="101"/>
    </row>
    <row r="146" spans="1:33" s="102" customFormat="1">
      <c r="A146" s="101"/>
      <c r="AG146" s="101"/>
    </row>
    <row r="147" spans="1:33" s="102" customFormat="1">
      <c r="A147" s="101"/>
      <c r="AG147" s="101"/>
    </row>
    <row r="148" spans="1:33" s="102" customFormat="1">
      <c r="A148" s="101"/>
      <c r="AG148" s="101"/>
    </row>
    <row r="149" spans="1:33" s="102" customFormat="1">
      <c r="A149" s="101"/>
      <c r="AG149" s="101"/>
    </row>
    <row r="150" spans="1:33" s="102" customFormat="1">
      <c r="A150" s="101"/>
      <c r="AG150" s="101"/>
    </row>
    <row r="151" spans="1:33" s="102" customFormat="1">
      <c r="A151" s="101"/>
      <c r="AG151" s="101"/>
    </row>
    <row r="152" spans="1:33" s="102" customFormat="1">
      <c r="A152" s="101"/>
      <c r="AG152" s="101"/>
    </row>
    <row r="153" spans="1:33" s="102" customFormat="1">
      <c r="A153" s="101"/>
      <c r="AG153" s="101"/>
    </row>
    <row r="154" spans="1:33" s="102" customFormat="1">
      <c r="A154" s="101"/>
      <c r="AG154" s="101"/>
    </row>
    <row r="155" spans="1:33" s="102" customFormat="1">
      <c r="A155" s="101"/>
      <c r="AG155" s="101"/>
    </row>
    <row r="156" spans="1:33" s="102" customFormat="1">
      <c r="A156" s="101"/>
      <c r="AG156" s="101"/>
    </row>
    <row r="157" spans="1:33" s="102" customFormat="1">
      <c r="A157" s="101"/>
      <c r="AG157" s="101"/>
    </row>
    <row r="158" spans="1:33" s="102" customFormat="1">
      <c r="A158" s="101"/>
      <c r="AG158" s="101"/>
    </row>
    <row r="159" spans="1:33" s="102" customFormat="1">
      <c r="A159" s="101"/>
      <c r="AG159" s="101"/>
    </row>
    <row r="160" spans="1:33" s="102" customFormat="1">
      <c r="A160" s="101"/>
      <c r="AG160" s="101"/>
    </row>
    <row r="161" spans="1:33" s="102" customFormat="1">
      <c r="A161" s="101"/>
      <c r="AG161" s="101"/>
    </row>
    <row r="162" spans="1:33" s="102" customFormat="1">
      <c r="A162" s="101"/>
      <c r="AG162" s="101"/>
    </row>
    <row r="163" spans="1:33" s="102" customFormat="1">
      <c r="A163" s="101"/>
      <c r="AG163" s="101"/>
    </row>
    <row r="164" spans="1:33" s="102" customFormat="1">
      <c r="A164" s="101"/>
      <c r="AG164" s="101"/>
    </row>
    <row r="165" spans="1:33" s="102" customFormat="1">
      <c r="A165" s="101"/>
      <c r="AG165" s="101"/>
    </row>
    <row r="166" spans="1:33" s="102" customFormat="1">
      <c r="A166" s="101"/>
      <c r="AG166" s="101"/>
    </row>
    <row r="167" spans="1:33" s="102" customFormat="1">
      <c r="A167" s="101"/>
      <c r="AG167" s="101"/>
    </row>
    <row r="168" spans="1:33" s="102" customFormat="1">
      <c r="A168" s="101"/>
      <c r="AG168" s="101"/>
    </row>
    <row r="169" spans="1:33" s="102" customFormat="1">
      <c r="A169" s="101"/>
      <c r="AG169" s="101"/>
    </row>
    <row r="170" spans="1:33" s="102" customFormat="1">
      <c r="A170" s="101"/>
      <c r="AG170" s="101"/>
    </row>
    <row r="171" spans="1:33" s="102" customFormat="1">
      <c r="A171" s="101"/>
      <c r="AG171" s="101"/>
    </row>
    <row r="172" spans="1:33" s="102" customFormat="1">
      <c r="A172" s="101"/>
      <c r="AG172" s="101"/>
    </row>
    <row r="173" spans="1:33" s="102" customFormat="1">
      <c r="A173" s="101"/>
      <c r="AG173" s="101"/>
    </row>
    <row r="174" spans="1:33" s="102" customFormat="1">
      <c r="A174" s="101"/>
      <c r="AG174" s="101"/>
    </row>
    <row r="175" spans="1:33" s="102" customFormat="1">
      <c r="A175" s="101"/>
      <c r="AG175" s="101"/>
    </row>
    <row r="176" spans="1:33" s="102" customFormat="1">
      <c r="A176" s="101"/>
      <c r="AG176" s="101"/>
    </row>
    <row r="177" spans="1:33" s="102" customFormat="1">
      <c r="A177" s="101"/>
      <c r="AG177" s="101"/>
    </row>
    <row r="178" spans="1:33" s="102" customFormat="1">
      <c r="A178" s="101"/>
      <c r="AG178" s="101"/>
    </row>
    <row r="179" spans="1:33" s="102" customFormat="1">
      <c r="A179" s="101"/>
      <c r="AG179" s="101"/>
    </row>
    <row r="180" spans="1:33" s="102" customFormat="1">
      <c r="A180" s="101"/>
      <c r="AG180" s="101"/>
    </row>
    <row r="181" spans="1:33" s="102" customFormat="1">
      <c r="A181" s="101"/>
      <c r="AG181" s="101"/>
    </row>
    <row r="182" spans="1:33" s="102" customFormat="1">
      <c r="A182" s="101"/>
      <c r="AG182" s="101"/>
    </row>
    <row r="183" spans="1:33" s="102" customFormat="1">
      <c r="A183" s="101"/>
      <c r="AG183" s="101"/>
    </row>
    <row r="184" spans="1:33" s="102" customFormat="1">
      <c r="A184" s="101"/>
      <c r="AG184" s="101"/>
    </row>
    <row r="185" spans="1:33" s="102" customFormat="1">
      <c r="A185" s="101"/>
      <c r="AG185" s="101"/>
    </row>
    <row r="186" spans="1:33" s="102" customFormat="1">
      <c r="A186" s="101"/>
      <c r="AG186" s="101"/>
    </row>
    <row r="187" spans="1:33" s="102" customFormat="1">
      <c r="A187" s="101"/>
      <c r="AG187" s="101"/>
    </row>
    <row r="188" spans="1:33" s="102" customFormat="1">
      <c r="A188" s="101"/>
      <c r="AG188" s="101"/>
    </row>
    <row r="189" spans="1:33" s="102" customFormat="1">
      <c r="A189" s="101"/>
      <c r="AG189" s="101"/>
    </row>
    <row r="190" spans="1:33" s="102" customFormat="1">
      <c r="A190" s="101"/>
      <c r="AG190" s="101"/>
    </row>
    <row r="191" spans="1:33" s="102" customFormat="1">
      <c r="A191" s="101"/>
      <c r="AG191" s="101"/>
    </row>
    <row r="192" spans="1:33" s="102" customFormat="1">
      <c r="A192" s="101"/>
      <c r="AG192" s="101"/>
    </row>
    <row r="193" spans="1:33" s="102" customFormat="1">
      <c r="A193" s="101"/>
      <c r="AG193" s="101"/>
    </row>
    <row r="194" spans="1:33" s="102" customFormat="1">
      <c r="A194" s="101"/>
      <c r="AG194" s="101"/>
    </row>
    <row r="195" spans="1:33" s="102" customFormat="1">
      <c r="A195" s="101"/>
      <c r="AG195" s="101"/>
    </row>
    <row r="196" spans="1:33" s="102" customFormat="1">
      <c r="A196" s="101"/>
      <c r="AG196" s="101"/>
    </row>
    <row r="197" spans="1:33" s="102" customFormat="1">
      <c r="A197" s="101"/>
      <c r="AG197" s="101"/>
    </row>
    <row r="198" spans="1:33" s="102" customFormat="1">
      <c r="A198" s="101"/>
      <c r="AG198" s="101"/>
    </row>
    <row r="199" spans="1:33" s="102" customFormat="1">
      <c r="A199" s="101"/>
      <c r="AG199" s="101"/>
    </row>
    <row r="200" spans="1:33" s="102" customFormat="1">
      <c r="A200" s="101"/>
      <c r="AG200" s="101"/>
    </row>
    <row r="201" spans="1:33" s="102" customFormat="1">
      <c r="A201" s="101"/>
      <c r="AG201" s="101"/>
    </row>
    <row r="202" spans="1:33" s="102" customFormat="1">
      <c r="A202" s="101"/>
      <c r="AG202" s="101"/>
    </row>
    <row r="203" spans="1:33" s="102" customFormat="1">
      <c r="A203" s="101"/>
      <c r="AG203" s="101"/>
    </row>
    <row r="204" spans="1:33" s="102" customFormat="1">
      <c r="A204" s="101"/>
      <c r="AG204" s="101"/>
    </row>
    <row r="205" spans="1:33" s="102" customFormat="1">
      <c r="A205" s="101"/>
      <c r="AG205" s="101"/>
    </row>
    <row r="206" spans="1:33" s="102" customFormat="1">
      <c r="A206" s="101"/>
      <c r="AG206" s="101"/>
    </row>
    <row r="207" spans="1:33" s="102" customFormat="1">
      <c r="A207" s="101"/>
      <c r="AG207" s="101"/>
    </row>
    <row r="208" spans="1:33" s="102" customFormat="1">
      <c r="A208" s="101"/>
      <c r="AG208" s="101"/>
    </row>
    <row r="209" spans="1:33" s="102" customFormat="1">
      <c r="A209" s="101"/>
      <c r="AG209" s="101"/>
    </row>
    <row r="210" spans="1:33" s="102" customFormat="1">
      <c r="A210" s="101"/>
      <c r="AG210" s="101"/>
    </row>
    <row r="211" spans="1:33" s="102" customFormat="1">
      <c r="A211" s="101"/>
      <c r="AG211" s="101"/>
    </row>
    <row r="212" spans="1:33" s="102" customFormat="1">
      <c r="A212" s="101"/>
      <c r="AG212" s="101"/>
    </row>
    <row r="213" spans="1:33" s="102" customFormat="1">
      <c r="A213" s="101"/>
      <c r="AG213" s="101"/>
    </row>
    <row r="214" spans="1:33" s="102" customFormat="1">
      <c r="A214" s="101"/>
      <c r="AG214" s="101"/>
    </row>
    <row r="215" spans="1:33" s="102" customFormat="1">
      <c r="A215" s="101"/>
      <c r="AG215" s="101"/>
    </row>
    <row r="216" spans="1:33" s="102" customFormat="1">
      <c r="A216" s="101"/>
      <c r="AG216" s="101"/>
    </row>
    <row r="217" spans="1:33" s="102" customFormat="1">
      <c r="A217" s="101"/>
      <c r="AG217" s="101"/>
    </row>
    <row r="218" spans="1:33" s="102" customFormat="1">
      <c r="A218" s="101"/>
      <c r="AG218" s="101"/>
    </row>
    <row r="219" spans="1:33" s="102" customFormat="1">
      <c r="A219" s="101"/>
      <c r="AG219" s="101"/>
    </row>
    <row r="220" spans="1:33" s="102" customFormat="1">
      <c r="A220" s="101"/>
      <c r="AG220" s="101"/>
    </row>
    <row r="221" spans="1:33" s="102" customFormat="1">
      <c r="A221" s="101"/>
      <c r="AG221" s="101"/>
    </row>
    <row r="222" spans="1:33" s="102" customFormat="1">
      <c r="A222" s="101"/>
      <c r="AG222" s="101"/>
    </row>
    <row r="223" spans="1:33" s="102" customFormat="1">
      <c r="A223" s="101"/>
      <c r="AG223" s="101"/>
    </row>
    <row r="224" spans="1:33" s="102" customFormat="1">
      <c r="A224" s="101"/>
      <c r="AG224" s="101"/>
    </row>
    <row r="225" spans="1:33" s="102" customFormat="1">
      <c r="A225" s="101"/>
      <c r="AG225" s="101"/>
    </row>
    <row r="226" spans="1:33" s="102" customFormat="1">
      <c r="A226" s="101"/>
      <c r="AG226" s="101"/>
    </row>
    <row r="227" spans="1:33" s="102" customFormat="1">
      <c r="A227" s="101"/>
      <c r="AG227" s="101"/>
    </row>
    <row r="228" spans="1:33" s="102" customFormat="1">
      <c r="A228" s="101"/>
      <c r="AG228" s="101"/>
    </row>
    <row r="229" spans="1:33" s="102" customFormat="1">
      <c r="A229" s="101"/>
      <c r="AG229" s="101"/>
    </row>
    <row r="230" spans="1:33" s="102" customFormat="1">
      <c r="A230" s="101"/>
      <c r="AG230" s="101"/>
    </row>
    <row r="231" spans="1:33" s="102" customFormat="1">
      <c r="A231" s="101"/>
      <c r="AG231" s="101"/>
    </row>
    <row r="232" spans="1:33" s="102" customFormat="1">
      <c r="A232" s="101"/>
      <c r="AG232" s="101"/>
    </row>
    <row r="233" spans="1:33" s="102" customFormat="1">
      <c r="A233" s="101"/>
      <c r="AG233" s="101"/>
    </row>
    <row r="234" spans="1:33" s="102" customFormat="1">
      <c r="A234" s="101"/>
      <c r="AG234" s="101"/>
    </row>
    <row r="235" spans="1:33" s="102" customFormat="1">
      <c r="A235" s="101"/>
      <c r="AG235" s="101"/>
    </row>
    <row r="236" spans="1:33" s="102" customFormat="1">
      <c r="A236" s="101"/>
      <c r="AG236" s="101"/>
    </row>
    <row r="237" spans="1:33" s="102" customFormat="1">
      <c r="A237" s="101"/>
      <c r="AG237" s="101"/>
    </row>
    <row r="238" spans="1:33" s="102" customFormat="1">
      <c r="A238" s="101"/>
      <c r="AG238" s="101"/>
    </row>
    <row r="239" spans="1:33" s="102" customFormat="1">
      <c r="A239" s="101"/>
      <c r="AG239" s="101"/>
    </row>
    <row r="240" spans="1:33" s="102" customFormat="1">
      <c r="A240" s="101"/>
      <c r="AG240" s="101"/>
    </row>
    <row r="241" spans="1:33" s="102" customFormat="1">
      <c r="A241" s="101"/>
      <c r="AG241" s="101"/>
    </row>
    <row r="242" spans="1:33" s="102" customFormat="1">
      <c r="A242" s="101"/>
      <c r="AG242" s="101"/>
    </row>
    <row r="243" spans="1:33" s="102" customFormat="1">
      <c r="A243" s="101"/>
      <c r="AG243" s="101"/>
    </row>
    <row r="244" spans="1:33" s="102" customFormat="1">
      <c r="A244" s="101"/>
      <c r="AG244" s="101"/>
    </row>
    <row r="245" spans="1:33" s="102" customFormat="1">
      <c r="A245" s="101"/>
      <c r="AG245" s="101"/>
    </row>
    <row r="246" spans="1:33" s="102" customFormat="1">
      <c r="A246" s="101"/>
      <c r="AG246" s="101"/>
    </row>
    <row r="247" spans="1:33" s="102" customFormat="1">
      <c r="A247" s="101"/>
      <c r="AG247" s="101"/>
    </row>
    <row r="248" spans="1:33" s="102" customFormat="1">
      <c r="A248" s="101"/>
      <c r="AG248" s="101"/>
    </row>
    <row r="249" spans="1:33" s="102" customFormat="1">
      <c r="A249" s="101"/>
      <c r="AG249" s="101"/>
    </row>
    <row r="250" spans="1:33" s="102" customFormat="1">
      <c r="A250" s="101"/>
      <c r="AG250" s="101"/>
    </row>
    <row r="251" spans="1:33" s="102" customFormat="1">
      <c r="A251" s="101"/>
      <c r="AG251" s="101"/>
    </row>
    <row r="252" spans="1:33" s="102" customFormat="1">
      <c r="A252" s="101"/>
      <c r="AG252" s="101"/>
    </row>
    <row r="253" spans="1:33" s="102" customFormat="1">
      <c r="A253" s="101"/>
      <c r="AG253" s="101"/>
    </row>
    <row r="254" spans="1:33" s="102" customFormat="1">
      <c r="A254" s="101"/>
      <c r="AG254" s="101"/>
    </row>
    <row r="255" spans="1:33" s="102" customFormat="1">
      <c r="A255" s="101"/>
      <c r="AG255" s="101"/>
    </row>
    <row r="256" spans="1:33" s="102" customFormat="1">
      <c r="A256" s="101"/>
      <c r="AG256" s="101"/>
    </row>
    <row r="257" spans="1:33" s="102" customFormat="1">
      <c r="A257" s="101"/>
      <c r="AG257" s="101"/>
    </row>
    <row r="258" spans="1:33" s="102" customFormat="1">
      <c r="A258" s="101"/>
      <c r="AG258" s="101"/>
    </row>
    <row r="259" spans="1:33" s="102" customFormat="1">
      <c r="A259" s="101"/>
      <c r="AG259" s="101"/>
    </row>
    <row r="260" spans="1:33" s="102" customFormat="1">
      <c r="A260" s="101"/>
      <c r="AG260" s="101"/>
    </row>
    <row r="261" spans="1:33" s="102" customFormat="1">
      <c r="A261" s="101"/>
      <c r="AG261" s="101"/>
    </row>
    <row r="262" spans="1:33" s="102" customFormat="1">
      <c r="A262" s="101"/>
      <c r="AG262" s="101"/>
    </row>
    <row r="263" spans="1:33" s="102" customFormat="1">
      <c r="A263" s="101"/>
      <c r="AG263" s="101"/>
    </row>
    <row r="264" spans="1:33" s="102" customFormat="1">
      <c r="A264" s="101"/>
      <c r="AG264" s="101"/>
    </row>
    <row r="265" spans="1:33" s="102" customFormat="1">
      <c r="A265" s="101"/>
      <c r="AG265" s="101"/>
    </row>
    <row r="266" spans="1:33" s="102" customFormat="1">
      <c r="A266" s="101"/>
      <c r="AG266" s="101"/>
    </row>
    <row r="267" spans="1:33" s="102" customFormat="1">
      <c r="A267" s="101"/>
      <c r="AG267" s="101"/>
    </row>
    <row r="268" spans="1:33" s="102" customFormat="1">
      <c r="A268" s="101"/>
      <c r="AG268" s="101"/>
    </row>
    <row r="269" spans="1:33" s="102" customFormat="1">
      <c r="A269" s="101"/>
      <c r="AG269" s="101"/>
    </row>
    <row r="270" spans="1:33" s="102" customFormat="1">
      <c r="A270" s="101"/>
      <c r="AG270" s="101"/>
    </row>
    <row r="271" spans="1:33" s="102" customFormat="1">
      <c r="A271" s="101"/>
      <c r="AG271" s="101"/>
    </row>
    <row r="272" spans="1:33" s="102" customFormat="1">
      <c r="A272" s="101"/>
      <c r="AG272" s="101"/>
    </row>
    <row r="273" spans="1:33" s="102" customFormat="1">
      <c r="A273" s="101"/>
      <c r="AG273" s="101"/>
    </row>
    <row r="274" spans="1:33" s="102" customFormat="1">
      <c r="A274" s="101"/>
      <c r="AG274" s="101"/>
    </row>
    <row r="275" spans="1:33" s="102" customFormat="1">
      <c r="A275" s="101"/>
      <c r="AG275" s="101"/>
    </row>
    <row r="276" spans="1:33" s="102" customFormat="1">
      <c r="A276" s="101"/>
      <c r="AG276" s="101"/>
    </row>
    <row r="277" spans="1:33" s="102" customFormat="1">
      <c r="A277" s="101"/>
      <c r="AG277" s="101"/>
    </row>
    <row r="278" spans="1:33" s="102" customFormat="1">
      <c r="A278" s="101"/>
      <c r="AG278" s="101"/>
    </row>
    <row r="279" spans="1:33" s="102" customFormat="1">
      <c r="A279" s="101"/>
      <c r="AG279" s="101"/>
    </row>
    <row r="280" spans="1:33" s="102" customFormat="1">
      <c r="A280" s="101"/>
      <c r="AG280" s="101"/>
    </row>
    <row r="281" spans="1:33" s="102" customFormat="1">
      <c r="A281" s="101"/>
      <c r="AG281" s="101"/>
    </row>
    <row r="282" spans="1:33" s="102" customFormat="1">
      <c r="A282" s="101"/>
      <c r="AG282" s="101"/>
    </row>
    <row r="283" spans="1:33" s="102" customFormat="1">
      <c r="A283" s="101"/>
      <c r="AG283" s="101"/>
    </row>
    <row r="284" spans="1:33" s="102" customFormat="1">
      <c r="A284" s="101"/>
      <c r="AG284" s="101"/>
    </row>
    <row r="285" spans="1:33" s="102" customFormat="1">
      <c r="A285" s="101"/>
      <c r="AG285" s="101"/>
    </row>
    <row r="286" spans="1:33" s="102" customFormat="1">
      <c r="A286" s="101"/>
      <c r="AG286" s="101"/>
    </row>
    <row r="287" spans="1:33" s="102" customFormat="1">
      <c r="A287" s="101"/>
      <c r="AG287" s="101"/>
    </row>
    <row r="288" spans="1:33" s="102" customFormat="1">
      <c r="A288" s="101"/>
      <c r="AG288" s="101"/>
    </row>
    <row r="289" spans="1:33" s="102" customFormat="1">
      <c r="A289" s="101"/>
      <c r="AG289" s="101"/>
    </row>
    <row r="290" spans="1:33" s="102" customFormat="1">
      <c r="A290" s="101"/>
      <c r="AG290" s="101"/>
    </row>
    <row r="291" spans="1:33" s="102" customFormat="1">
      <c r="A291" s="101"/>
      <c r="AG291" s="101"/>
    </row>
    <row r="292" spans="1:33" s="102" customFormat="1">
      <c r="A292" s="101"/>
      <c r="AG292" s="101"/>
    </row>
    <row r="293" spans="1:33" s="102" customFormat="1">
      <c r="A293" s="101"/>
      <c r="AG293" s="101"/>
    </row>
    <row r="294" spans="1:33" s="102" customFormat="1">
      <c r="A294" s="101"/>
      <c r="AG294" s="101"/>
    </row>
    <row r="295" spans="1:33" s="102" customFormat="1">
      <c r="A295" s="101"/>
      <c r="AG295" s="101"/>
    </row>
    <row r="296" spans="1:33" s="102" customFormat="1">
      <c r="A296" s="101"/>
      <c r="AG296" s="101"/>
    </row>
    <row r="297" spans="1:33" s="102" customFormat="1">
      <c r="A297" s="101"/>
      <c r="AG297" s="101"/>
    </row>
    <row r="298" spans="1:33" s="102" customFormat="1">
      <c r="A298" s="101"/>
      <c r="AG298" s="101"/>
    </row>
    <row r="299" spans="1:33" s="102" customFormat="1">
      <c r="A299" s="101"/>
      <c r="AG299" s="101"/>
    </row>
    <row r="300" spans="1:33" s="102" customFormat="1">
      <c r="A300" s="101"/>
      <c r="AG300" s="101"/>
    </row>
    <row r="301" spans="1:33" s="102" customFormat="1">
      <c r="A301" s="101"/>
      <c r="AG301" s="101"/>
    </row>
    <row r="302" spans="1:33" s="102" customFormat="1">
      <c r="A302" s="101"/>
      <c r="AG302" s="101"/>
    </row>
    <row r="303" spans="1:33" s="102" customFormat="1">
      <c r="A303" s="101"/>
      <c r="AG303" s="101"/>
    </row>
    <row r="304" spans="1:33" s="102" customFormat="1">
      <c r="A304" s="101"/>
      <c r="AG304" s="101"/>
    </row>
    <row r="305" spans="1:33" s="102" customFormat="1">
      <c r="A305" s="101"/>
      <c r="AG305" s="101"/>
    </row>
    <row r="306" spans="1:33" s="102" customFormat="1">
      <c r="A306" s="101"/>
      <c r="AG306" s="101"/>
    </row>
    <row r="307" spans="1:33" s="102" customFormat="1">
      <c r="A307" s="101"/>
      <c r="AG307" s="101"/>
    </row>
    <row r="308" spans="1:33" s="102" customFormat="1">
      <c r="A308" s="101"/>
      <c r="AG308" s="101"/>
    </row>
    <row r="309" spans="1:33" s="102" customFormat="1">
      <c r="A309" s="101"/>
      <c r="AG309" s="101"/>
    </row>
    <row r="310" spans="1:33" s="102" customFormat="1">
      <c r="A310" s="101"/>
      <c r="AG310" s="101"/>
    </row>
    <row r="311" spans="1:33" s="102" customFormat="1">
      <c r="A311" s="101"/>
      <c r="AG311" s="101"/>
    </row>
    <row r="312" spans="1:33" s="102" customFormat="1">
      <c r="A312" s="101"/>
      <c r="AG312" s="101"/>
    </row>
    <row r="313" spans="1:33" s="102" customFormat="1">
      <c r="A313" s="101"/>
      <c r="AG313" s="101"/>
    </row>
    <row r="314" spans="1:33" s="102" customFormat="1">
      <c r="A314" s="101"/>
      <c r="AG314" s="101"/>
    </row>
    <row r="315" spans="1:33" s="102" customFormat="1">
      <c r="A315" s="101"/>
      <c r="AG315" s="101"/>
    </row>
    <row r="316" spans="1:33" s="102" customFormat="1">
      <c r="A316" s="101"/>
      <c r="AG316" s="101"/>
    </row>
    <row r="317" spans="1:33" s="102" customFormat="1">
      <c r="A317" s="101"/>
      <c r="AG317" s="101"/>
    </row>
    <row r="318" spans="1:33" s="102" customFormat="1">
      <c r="A318" s="101"/>
      <c r="AG318" s="101"/>
    </row>
    <row r="319" spans="1:33" s="102" customFormat="1">
      <c r="A319" s="101"/>
      <c r="AG319" s="101"/>
    </row>
    <row r="320" spans="1:33" s="102" customFormat="1">
      <c r="A320" s="101"/>
      <c r="AG320" s="101"/>
    </row>
    <row r="321" spans="1:33" s="102" customFormat="1">
      <c r="A321" s="101"/>
      <c r="AG321" s="101"/>
    </row>
    <row r="322" spans="1:33" s="102" customFormat="1">
      <c r="A322" s="101"/>
      <c r="AG322" s="101"/>
    </row>
    <row r="323" spans="1:33" s="102" customFormat="1">
      <c r="A323" s="101"/>
      <c r="AG323" s="101"/>
    </row>
    <row r="324" spans="1:33" s="102" customFormat="1">
      <c r="A324" s="101"/>
      <c r="AG324" s="101"/>
    </row>
    <row r="325" spans="1:33" s="102" customFormat="1">
      <c r="A325" s="101"/>
      <c r="AG325" s="101"/>
    </row>
    <row r="326" spans="1:33" s="102" customFormat="1">
      <c r="A326" s="101"/>
      <c r="AG326" s="101"/>
    </row>
    <row r="327" spans="1:33" s="102" customFormat="1">
      <c r="A327" s="101"/>
      <c r="AG327" s="101"/>
    </row>
    <row r="328" spans="1:33" s="102" customFormat="1">
      <c r="A328" s="101"/>
      <c r="AG328" s="101"/>
    </row>
    <row r="329" spans="1:33" s="102" customFormat="1">
      <c r="A329" s="101"/>
      <c r="AG329" s="101"/>
    </row>
    <row r="330" spans="1:33" s="102" customFormat="1">
      <c r="A330" s="101"/>
      <c r="AG330" s="101"/>
    </row>
    <row r="331" spans="1:33" s="102" customFormat="1">
      <c r="A331" s="101"/>
      <c r="AG331" s="101"/>
    </row>
    <row r="332" spans="1:33" s="102" customFormat="1">
      <c r="A332" s="101"/>
      <c r="AG332" s="101"/>
    </row>
    <row r="333" spans="1:33" s="102" customFormat="1">
      <c r="A333" s="101"/>
      <c r="AG333" s="101"/>
    </row>
    <row r="334" spans="1:33" s="102" customFormat="1">
      <c r="A334" s="101"/>
      <c r="AG334" s="101"/>
    </row>
    <row r="335" spans="1:33" s="102" customFormat="1">
      <c r="A335" s="101"/>
      <c r="AG335" s="101"/>
    </row>
    <row r="336" spans="1:33" s="102" customFormat="1">
      <c r="A336" s="101"/>
      <c r="AG336" s="101"/>
    </row>
    <row r="337" spans="1:33" s="102" customFormat="1">
      <c r="A337" s="101"/>
      <c r="AG337" s="101"/>
    </row>
    <row r="338" spans="1:33" s="102" customFormat="1">
      <c r="A338" s="101"/>
      <c r="AG338" s="101"/>
    </row>
    <row r="339" spans="1:33" s="102" customFormat="1">
      <c r="A339" s="101"/>
      <c r="AG339" s="101"/>
    </row>
    <row r="340" spans="1:33" s="102" customFormat="1">
      <c r="A340" s="101"/>
      <c r="AG340" s="101"/>
    </row>
    <row r="341" spans="1:33" s="102" customFormat="1">
      <c r="A341" s="101"/>
      <c r="AG341" s="101"/>
    </row>
    <row r="342" spans="1:33" s="102" customFormat="1">
      <c r="A342" s="101"/>
      <c r="AG342" s="101"/>
    </row>
    <row r="343" spans="1:33" s="102" customFormat="1">
      <c r="A343" s="101"/>
      <c r="AG343" s="101"/>
    </row>
    <row r="344" spans="1:33" s="102" customFormat="1">
      <c r="A344" s="101"/>
      <c r="AG344" s="101"/>
    </row>
    <row r="345" spans="1:33" s="102" customFormat="1">
      <c r="A345" s="101"/>
      <c r="AG345" s="101"/>
    </row>
    <row r="346" spans="1:33" s="102" customFormat="1">
      <c r="A346" s="101"/>
      <c r="AG346" s="101"/>
    </row>
    <row r="347" spans="1:33" s="102" customFormat="1">
      <c r="A347" s="101"/>
      <c r="AG347" s="101"/>
    </row>
    <row r="348" spans="1:33" s="102" customFormat="1">
      <c r="A348" s="101"/>
      <c r="AG348" s="101"/>
    </row>
    <row r="349" spans="1:33" s="102" customFormat="1">
      <c r="A349" s="101"/>
      <c r="AG349" s="101"/>
    </row>
    <row r="350" spans="1:33" s="102" customFormat="1">
      <c r="A350" s="101"/>
      <c r="AG350" s="101"/>
    </row>
    <row r="351" spans="1:33" s="102" customFormat="1">
      <c r="A351" s="101"/>
      <c r="AG351" s="101"/>
    </row>
    <row r="352" spans="1:33" s="102" customFormat="1">
      <c r="A352" s="101"/>
      <c r="AG352" s="101"/>
    </row>
    <row r="353" spans="1:33" s="102" customFormat="1">
      <c r="A353" s="101"/>
      <c r="AG353" s="101"/>
    </row>
    <row r="354" spans="1:33" s="102" customFormat="1">
      <c r="A354" s="101"/>
      <c r="AG354" s="101"/>
    </row>
    <row r="355" spans="1:33" s="102" customFormat="1">
      <c r="A355" s="101"/>
      <c r="AG355" s="101"/>
    </row>
    <row r="356" spans="1:33" s="102" customFormat="1">
      <c r="A356" s="101"/>
      <c r="AG356" s="101"/>
    </row>
    <row r="357" spans="1:33" s="102" customFormat="1">
      <c r="A357" s="101"/>
      <c r="AG357" s="101"/>
    </row>
    <row r="358" spans="1:33" s="102" customFormat="1">
      <c r="A358" s="101"/>
      <c r="AG358" s="101"/>
    </row>
    <row r="359" spans="1:33" s="102" customFormat="1">
      <c r="A359" s="101"/>
      <c r="AG359" s="101"/>
    </row>
    <row r="360" spans="1:33" s="102" customFormat="1">
      <c r="A360" s="101"/>
      <c r="AG360" s="101"/>
    </row>
    <row r="361" spans="1:33" s="102" customFormat="1">
      <c r="A361" s="101"/>
      <c r="AG361" s="101"/>
    </row>
    <row r="362" spans="1:33" s="102" customFormat="1">
      <c r="A362" s="101"/>
      <c r="AG362" s="101"/>
    </row>
    <row r="363" spans="1:33" s="102" customFormat="1">
      <c r="A363" s="101"/>
      <c r="AG363" s="101"/>
    </row>
    <row r="364" spans="1:33" s="102" customFormat="1">
      <c r="A364" s="101"/>
      <c r="AG364" s="101"/>
    </row>
    <row r="365" spans="1:33" s="102" customFormat="1">
      <c r="A365" s="101"/>
      <c r="AG365" s="101"/>
    </row>
    <row r="366" spans="1:33" s="102" customFormat="1">
      <c r="A366" s="101"/>
      <c r="AG366" s="101"/>
    </row>
    <row r="367" spans="1:33" s="102" customFormat="1">
      <c r="A367" s="101"/>
      <c r="AG367" s="101"/>
    </row>
    <row r="368" spans="1:33" s="102" customFormat="1">
      <c r="A368" s="101"/>
      <c r="AG368" s="101"/>
    </row>
    <row r="369" spans="1:33" s="102" customFormat="1">
      <c r="A369" s="101"/>
      <c r="AG369" s="101"/>
    </row>
    <row r="370" spans="1:33" s="102" customFormat="1">
      <c r="A370" s="101"/>
      <c r="AG370" s="101"/>
    </row>
    <row r="371" spans="1:33" s="102" customFormat="1">
      <c r="A371" s="101"/>
      <c r="AG371" s="101"/>
    </row>
    <row r="372" spans="1:33" s="102" customFormat="1">
      <c r="A372" s="101"/>
      <c r="AG372" s="101"/>
    </row>
    <row r="373" spans="1:33" s="102" customFormat="1">
      <c r="A373" s="101"/>
      <c r="AG373" s="101"/>
    </row>
    <row r="374" spans="1:33" s="102" customFormat="1">
      <c r="A374" s="101"/>
      <c r="AG374" s="101"/>
    </row>
    <row r="375" spans="1:33" s="102" customFormat="1">
      <c r="A375" s="101"/>
      <c r="AG375" s="101"/>
    </row>
    <row r="376" spans="1:33" s="102" customFormat="1">
      <c r="A376" s="101"/>
      <c r="AG376" s="101"/>
    </row>
    <row r="377" spans="1:33" s="102" customFormat="1">
      <c r="A377" s="101"/>
      <c r="AG377" s="101"/>
    </row>
    <row r="378" spans="1:33" s="102" customFormat="1">
      <c r="A378" s="101"/>
      <c r="AG378" s="101"/>
    </row>
    <row r="379" spans="1:33" s="102" customFormat="1">
      <c r="A379" s="101"/>
      <c r="AG379" s="101"/>
    </row>
    <row r="380" spans="1:33" s="102" customFormat="1">
      <c r="A380" s="101"/>
      <c r="AG380" s="101"/>
    </row>
    <row r="381" spans="1:33" s="102" customFormat="1">
      <c r="A381" s="101"/>
      <c r="AG381" s="101"/>
    </row>
    <row r="382" spans="1:33" s="102" customFormat="1">
      <c r="A382" s="101"/>
      <c r="AG382" s="101"/>
    </row>
    <row r="383" spans="1:33" s="102" customFormat="1">
      <c r="A383" s="101"/>
      <c r="AG383" s="101"/>
    </row>
    <row r="384" spans="1:33" s="102" customFormat="1">
      <c r="A384" s="101"/>
      <c r="AG384" s="101"/>
    </row>
    <row r="385" spans="1:33" s="102" customFormat="1">
      <c r="A385" s="101"/>
      <c r="AG385" s="101"/>
    </row>
    <row r="386" spans="1:33" s="102" customFormat="1">
      <c r="A386" s="101"/>
      <c r="AG386" s="101"/>
    </row>
    <row r="387" spans="1:33" s="102" customFormat="1">
      <c r="A387" s="101"/>
      <c r="AG387" s="101"/>
    </row>
    <row r="388" spans="1:33" s="102" customFormat="1">
      <c r="A388" s="101"/>
      <c r="AG388" s="101"/>
    </row>
    <row r="389" spans="1:33" s="102" customFormat="1">
      <c r="A389" s="101"/>
      <c r="AG389" s="101"/>
    </row>
    <row r="390" spans="1:33" s="102" customFormat="1">
      <c r="A390" s="101"/>
      <c r="AG390" s="101"/>
    </row>
    <row r="391" spans="1:33" s="102" customFormat="1">
      <c r="A391" s="101"/>
      <c r="AG391" s="101"/>
    </row>
    <row r="392" spans="1:33" s="102" customFormat="1">
      <c r="A392" s="101"/>
      <c r="AG392" s="101"/>
    </row>
    <row r="393" spans="1:33" s="102" customFormat="1">
      <c r="A393" s="101"/>
      <c r="AG393" s="101"/>
    </row>
    <row r="394" spans="1:33" s="102" customFormat="1">
      <c r="A394" s="101"/>
      <c r="AG394" s="101"/>
    </row>
    <row r="395" spans="1:33" s="102" customFormat="1">
      <c r="A395" s="101"/>
      <c r="AG395" s="101"/>
    </row>
    <row r="396" spans="1:33" s="102" customFormat="1">
      <c r="A396" s="101"/>
      <c r="AG396" s="101"/>
    </row>
    <row r="397" spans="1:33" s="102" customFormat="1">
      <c r="A397" s="101"/>
      <c r="AG397" s="101"/>
    </row>
    <row r="398" spans="1:33" s="102" customFormat="1">
      <c r="A398" s="101"/>
      <c r="AG398" s="101"/>
    </row>
    <row r="399" spans="1:33" s="102" customFormat="1">
      <c r="A399" s="101"/>
      <c r="AG399" s="101"/>
    </row>
    <row r="400" spans="1:33" s="102" customFormat="1">
      <c r="A400" s="101"/>
      <c r="AG400" s="101"/>
    </row>
    <row r="401" spans="1:33" s="102" customFormat="1">
      <c r="A401" s="101"/>
      <c r="AG401" s="101"/>
    </row>
    <row r="402" spans="1:33" s="102" customFormat="1">
      <c r="A402" s="101"/>
      <c r="AG402" s="101"/>
    </row>
    <row r="403" spans="1:33" s="102" customFormat="1">
      <c r="A403" s="101"/>
      <c r="AG403" s="101"/>
    </row>
    <row r="404" spans="1:33" s="102" customFormat="1">
      <c r="A404" s="101"/>
      <c r="AG404" s="101"/>
    </row>
    <row r="405" spans="1:33" s="102" customFormat="1">
      <c r="A405" s="101"/>
      <c r="AG405" s="101"/>
    </row>
    <row r="406" spans="1:33" s="102" customFormat="1">
      <c r="A406" s="101"/>
      <c r="AG406" s="101"/>
    </row>
    <row r="407" spans="1:33" s="102" customFormat="1">
      <c r="A407" s="101"/>
      <c r="AG407" s="101"/>
    </row>
    <row r="408" spans="1:33" s="102" customFormat="1">
      <c r="A408" s="101"/>
      <c r="AG408" s="101"/>
    </row>
    <row r="409" spans="1:33" s="102" customFormat="1">
      <c r="A409" s="101"/>
      <c r="AG409" s="101"/>
    </row>
    <row r="410" spans="1:33" s="102" customFormat="1">
      <c r="A410" s="101"/>
      <c r="AG410" s="101"/>
    </row>
    <row r="411" spans="1:33" s="102" customFormat="1">
      <c r="A411" s="101"/>
      <c r="AG411" s="101"/>
    </row>
    <row r="412" spans="1:33" s="102" customFormat="1">
      <c r="A412" s="101"/>
      <c r="AG412" s="101"/>
    </row>
    <row r="413" spans="1:33" s="102" customFormat="1">
      <c r="A413" s="101"/>
      <c r="AG413" s="101"/>
    </row>
    <row r="414" spans="1:33" s="102" customFormat="1">
      <c r="A414" s="101"/>
      <c r="AG414" s="101"/>
    </row>
    <row r="415" spans="1:33" s="102" customFormat="1">
      <c r="A415" s="101"/>
      <c r="AG415" s="101"/>
    </row>
    <row r="416" spans="1:33" s="102" customFormat="1">
      <c r="A416" s="101"/>
      <c r="AG416" s="101"/>
    </row>
    <row r="417" spans="1:33" s="102" customFormat="1">
      <c r="A417" s="101"/>
      <c r="AG417" s="101"/>
    </row>
    <row r="418" spans="1:33" s="102" customFormat="1">
      <c r="A418" s="101"/>
      <c r="AG418" s="101"/>
    </row>
    <row r="419" spans="1:33" s="102" customFormat="1">
      <c r="A419" s="101"/>
      <c r="AG419" s="101"/>
    </row>
    <row r="420" spans="1:33" s="102" customFormat="1">
      <c r="A420" s="101"/>
      <c r="AG420" s="101"/>
    </row>
    <row r="421" spans="1:33" s="102" customFormat="1">
      <c r="A421" s="101"/>
      <c r="AG421" s="101"/>
    </row>
    <row r="422" spans="1:33" s="102" customFormat="1">
      <c r="A422" s="101"/>
      <c r="AG422" s="101"/>
    </row>
    <row r="423" spans="1:33" s="102" customFormat="1">
      <c r="A423" s="101"/>
      <c r="AG423" s="101"/>
    </row>
    <row r="424" spans="1:33" s="102" customFormat="1">
      <c r="A424" s="101"/>
      <c r="AG424" s="101"/>
    </row>
    <row r="425" spans="1:33" s="102" customFormat="1">
      <c r="A425" s="101"/>
      <c r="AG425" s="101"/>
    </row>
    <row r="426" spans="1:33" s="102" customFormat="1">
      <c r="A426" s="101"/>
      <c r="AG426" s="101"/>
    </row>
    <row r="427" spans="1:33" s="102" customFormat="1">
      <c r="A427" s="101"/>
      <c r="AG427" s="101"/>
    </row>
    <row r="428" spans="1:33" s="102" customFormat="1">
      <c r="A428" s="101"/>
      <c r="AG428" s="101"/>
    </row>
    <row r="429" spans="1:33" s="102" customFormat="1">
      <c r="A429" s="101"/>
      <c r="AG429" s="101"/>
    </row>
    <row r="430" spans="1:33" s="102" customFormat="1">
      <c r="A430" s="101"/>
      <c r="AG430" s="101"/>
    </row>
    <row r="431" spans="1:33" s="102" customFormat="1">
      <c r="A431" s="101"/>
      <c r="AG431" s="101"/>
    </row>
    <row r="432" spans="1:33" s="102" customFormat="1">
      <c r="A432" s="101"/>
      <c r="AG432" s="101"/>
    </row>
    <row r="433" spans="1:33" s="102" customFormat="1">
      <c r="A433" s="101"/>
      <c r="AG433" s="101"/>
    </row>
    <row r="434" spans="1:33" s="102" customFormat="1">
      <c r="A434" s="101"/>
      <c r="AG434" s="101"/>
    </row>
    <row r="435" spans="1:33" s="102" customFormat="1">
      <c r="A435" s="101"/>
      <c r="AG435" s="101"/>
    </row>
    <row r="436" spans="1:33" s="102" customFormat="1">
      <c r="A436" s="101"/>
      <c r="AG436" s="101"/>
    </row>
    <row r="437" spans="1:33" s="102" customFormat="1">
      <c r="A437" s="101"/>
      <c r="AG437" s="101"/>
    </row>
    <row r="438" spans="1:33" s="102" customFormat="1">
      <c r="A438" s="101"/>
      <c r="AG438" s="101"/>
    </row>
    <row r="439" spans="1:33" s="102" customFormat="1">
      <c r="A439" s="101"/>
      <c r="AG439" s="101"/>
    </row>
    <row r="440" spans="1:33" s="102" customFormat="1">
      <c r="A440" s="101"/>
      <c r="AG440" s="101"/>
    </row>
    <row r="441" spans="1:33" s="102" customFormat="1">
      <c r="A441" s="101"/>
      <c r="AG441" s="101"/>
    </row>
    <row r="442" spans="1:33" s="102" customFormat="1">
      <c r="A442" s="101"/>
      <c r="AG442" s="101"/>
    </row>
    <row r="443" spans="1:33" s="102" customFormat="1">
      <c r="A443" s="101"/>
      <c r="AG443" s="101"/>
    </row>
    <row r="444" spans="1:33" s="102" customFormat="1">
      <c r="A444" s="101"/>
      <c r="AG444" s="101"/>
    </row>
    <row r="445" spans="1:33" s="102" customFormat="1">
      <c r="A445" s="101"/>
      <c r="AG445" s="101"/>
    </row>
    <row r="446" spans="1:33" s="102" customFormat="1">
      <c r="A446" s="101"/>
      <c r="AG446" s="101"/>
    </row>
    <row r="447" spans="1:33" s="102" customFormat="1">
      <c r="A447" s="101"/>
      <c r="AG447" s="101"/>
    </row>
    <row r="448" spans="1:33" s="102" customFormat="1">
      <c r="A448" s="101"/>
      <c r="AG448" s="101"/>
    </row>
    <row r="449" spans="1:33" s="102" customFormat="1">
      <c r="A449" s="101"/>
      <c r="AG449" s="101"/>
    </row>
    <row r="450" spans="1:33" s="102" customFormat="1">
      <c r="A450" s="101"/>
      <c r="AG450" s="101"/>
    </row>
    <row r="451" spans="1:33" s="102" customFormat="1">
      <c r="A451" s="101"/>
      <c r="AG451" s="101"/>
    </row>
    <row r="452" spans="1:33" s="102" customFormat="1">
      <c r="A452" s="101"/>
      <c r="AG452" s="101"/>
    </row>
    <row r="453" spans="1:33" s="102" customFormat="1">
      <c r="A453" s="101"/>
      <c r="AG453" s="101"/>
    </row>
    <row r="454" spans="1:33" s="102" customFormat="1">
      <c r="A454" s="101"/>
      <c r="AG454" s="101"/>
    </row>
    <row r="455" spans="1:33" s="102" customFormat="1">
      <c r="A455" s="101"/>
      <c r="AG455" s="101"/>
    </row>
    <row r="456" spans="1:33" s="102" customFormat="1">
      <c r="A456" s="101"/>
      <c r="AG456" s="101"/>
    </row>
    <row r="457" spans="1:33" s="102" customFormat="1">
      <c r="A457" s="101"/>
      <c r="AG457" s="101"/>
    </row>
    <row r="458" spans="1:33" s="102" customFormat="1">
      <c r="A458" s="101"/>
      <c r="AG458" s="101"/>
    </row>
    <row r="459" spans="1:33" s="102" customFormat="1">
      <c r="A459" s="101"/>
      <c r="AG459" s="101"/>
    </row>
    <row r="460" spans="1:33" s="102" customFormat="1">
      <c r="A460" s="101"/>
      <c r="AG460" s="101"/>
    </row>
    <row r="461" spans="1:33" s="102" customFormat="1">
      <c r="A461" s="101"/>
      <c r="AG461" s="101"/>
    </row>
    <row r="462" spans="1:33" s="102" customFormat="1">
      <c r="A462" s="101"/>
      <c r="AG462" s="101"/>
    </row>
    <row r="463" spans="1:33" s="102" customFormat="1">
      <c r="A463" s="101"/>
      <c r="AG463" s="101"/>
    </row>
    <row r="464" spans="1:33" s="102" customFormat="1">
      <c r="A464" s="101"/>
      <c r="AG464" s="101"/>
    </row>
    <row r="465" spans="1:33" s="102" customFormat="1">
      <c r="A465" s="101"/>
      <c r="AG465" s="101"/>
    </row>
    <row r="466" spans="1:33" s="102" customFormat="1">
      <c r="A466" s="101"/>
      <c r="AG466" s="101"/>
    </row>
    <row r="467" spans="1:33" s="102" customFormat="1">
      <c r="A467" s="101"/>
      <c r="AG467" s="101"/>
    </row>
    <row r="468" spans="1:33" s="102" customFormat="1">
      <c r="A468" s="101"/>
      <c r="AG468" s="101"/>
    </row>
    <row r="469" spans="1:33" s="102" customFormat="1">
      <c r="A469" s="101"/>
      <c r="AG469" s="101"/>
    </row>
    <row r="470" spans="1:33" s="102" customFormat="1">
      <c r="A470" s="101"/>
      <c r="AG470" s="101"/>
    </row>
    <row r="471" spans="1:33" s="102" customFormat="1">
      <c r="A471" s="101"/>
      <c r="AG471" s="101"/>
    </row>
    <row r="472" spans="1:33" s="102" customFormat="1">
      <c r="A472" s="101"/>
      <c r="AG472" s="101"/>
    </row>
    <row r="473" spans="1:33" s="102" customFormat="1">
      <c r="A473" s="101"/>
      <c r="AG473" s="101"/>
    </row>
    <row r="474" spans="1:33" s="102" customFormat="1">
      <c r="A474" s="101"/>
      <c r="AG474" s="101"/>
    </row>
    <row r="475" spans="1:33" s="102" customFormat="1">
      <c r="A475" s="101"/>
      <c r="AG475" s="101"/>
    </row>
    <row r="476" spans="1:33" s="102" customFormat="1">
      <c r="A476" s="101"/>
      <c r="AG476" s="101"/>
    </row>
    <row r="477" spans="1:33" s="102" customFormat="1">
      <c r="A477" s="101"/>
      <c r="AG477" s="101"/>
    </row>
    <row r="478" spans="1:33" s="102" customFormat="1">
      <c r="A478" s="101"/>
      <c r="AG478" s="101"/>
    </row>
    <row r="479" spans="1:33" s="102" customFormat="1">
      <c r="A479" s="101"/>
      <c r="AG479" s="101"/>
    </row>
    <row r="480" spans="1:33" s="102" customFormat="1">
      <c r="A480" s="101"/>
      <c r="AG480" s="101"/>
    </row>
    <row r="481" spans="1:33" s="102" customFormat="1">
      <c r="A481" s="101"/>
      <c r="AG481" s="101"/>
    </row>
    <row r="482" spans="1:33" s="102" customFormat="1">
      <c r="A482" s="101"/>
      <c r="AG482" s="101"/>
    </row>
    <row r="483" spans="1:33" s="102" customFormat="1">
      <c r="A483" s="101"/>
      <c r="AG483" s="101"/>
    </row>
    <row r="484" spans="1:33" s="102" customFormat="1">
      <c r="A484" s="101"/>
      <c r="AG484" s="101"/>
    </row>
    <row r="485" spans="1:33" s="102" customFormat="1">
      <c r="A485" s="101"/>
      <c r="AG485" s="101"/>
    </row>
    <row r="486" spans="1:33" s="102" customFormat="1">
      <c r="A486" s="101"/>
      <c r="AG486" s="101"/>
    </row>
    <row r="487" spans="1:33" s="102" customFormat="1">
      <c r="A487" s="101"/>
      <c r="AG487" s="101"/>
    </row>
    <row r="488" spans="1:33" s="102" customFormat="1">
      <c r="A488" s="101"/>
      <c r="AG488" s="101"/>
    </row>
    <row r="489" spans="1:33" s="102" customFormat="1">
      <c r="A489" s="101"/>
      <c r="AG489" s="101"/>
    </row>
    <row r="490" spans="1:33" s="102" customFormat="1">
      <c r="A490" s="101"/>
      <c r="AG490" s="101"/>
    </row>
    <row r="491" spans="1:33" s="102" customFormat="1">
      <c r="A491" s="101"/>
      <c r="AG491" s="101"/>
    </row>
    <row r="492" spans="1:33" s="102" customFormat="1">
      <c r="A492" s="101"/>
      <c r="AG492" s="101"/>
    </row>
    <row r="493" spans="1:33" s="102" customFormat="1">
      <c r="A493" s="101"/>
      <c r="AG493" s="101"/>
    </row>
    <row r="494" spans="1:33" s="102" customFormat="1">
      <c r="A494" s="101"/>
      <c r="AG494" s="101"/>
    </row>
    <row r="495" spans="1:33" s="102" customFormat="1">
      <c r="A495" s="101"/>
      <c r="AG495" s="101"/>
    </row>
    <row r="496" spans="1:33" s="102" customFormat="1">
      <c r="A496" s="101"/>
      <c r="AG496" s="101"/>
    </row>
    <row r="497" spans="1:33" s="102" customFormat="1">
      <c r="A497" s="101"/>
      <c r="AG497" s="101"/>
    </row>
    <row r="498" spans="1:33" s="102" customFormat="1">
      <c r="A498" s="101"/>
      <c r="AG498" s="101"/>
    </row>
    <row r="499" spans="1:33" s="102" customFormat="1">
      <c r="A499" s="101"/>
      <c r="AG499" s="101"/>
    </row>
    <row r="500" spans="1:33" s="102" customFormat="1">
      <c r="A500" s="101"/>
      <c r="AG500" s="101"/>
    </row>
    <row r="501" spans="1:33" s="102" customFormat="1">
      <c r="A501" s="101"/>
      <c r="AG501" s="101"/>
    </row>
    <row r="502" spans="1:33" s="102" customFormat="1">
      <c r="A502" s="101"/>
      <c r="AG502" s="101"/>
    </row>
    <row r="503" spans="1:33" s="102" customFormat="1">
      <c r="A503" s="101"/>
      <c r="AG503" s="101"/>
    </row>
    <row r="504" spans="1:33" s="102" customFormat="1">
      <c r="A504" s="101"/>
      <c r="AG504" s="101"/>
    </row>
    <row r="505" spans="1:33" s="102" customFormat="1">
      <c r="A505" s="101"/>
      <c r="AG505" s="101"/>
    </row>
    <row r="506" spans="1:33" s="102" customFormat="1">
      <c r="A506" s="101"/>
      <c r="AG506" s="101"/>
    </row>
    <row r="507" spans="1:33" s="102" customFormat="1">
      <c r="A507" s="101"/>
      <c r="AG507" s="101"/>
    </row>
    <row r="508" spans="1:33" s="102" customFormat="1">
      <c r="A508" s="101"/>
      <c r="AG508" s="101"/>
    </row>
    <row r="509" spans="1:33" s="102" customFormat="1">
      <c r="A509" s="101"/>
      <c r="AG509" s="101"/>
    </row>
    <row r="510" spans="1:33" s="102" customFormat="1">
      <c r="A510" s="101"/>
      <c r="AG510" s="101"/>
    </row>
    <row r="511" spans="1:33" s="102" customFormat="1">
      <c r="A511" s="101"/>
      <c r="AG511" s="101"/>
    </row>
    <row r="512" spans="1:33" s="102" customFormat="1">
      <c r="A512" s="101"/>
      <c r="AG512" s="101"/>
    </row>
    <row r="513" spans="1:33" s="102" customFormat="1">
      <c r="A513" s="101"/>
      <c r="AG513" s="101"/>
    </row>
    <row r="514" spans="1:33" s="102" customFormat="1">
      <c r="A514" s="101"/>
      <c r="AG514" s="101"/>
    </row>
    <row r="515" spans="1:33" s="102" customFormat="1">
      <c r="A515" s="101"/>
      <c r="AG515" s="101"/>
    </row>
    <row r="516" spans="1:33" s="102" customFormat="1">
      <c r="A516" s="101"/>
      <c r="AG516" s="101"/>
    </row>
    <row r="517" spans="1:33" s="102" customFormat="1">
      <c r="A517" s="101"/>
      <c r="AG517" s="101"/>
    </row>
    <row r="518" spans="1:33" s="102" customFormat="1">
      <c r="A518" s="101"/>
      <c r="AG518" s="101"/>
    </row>
    <row r="519" spans="1:33" s="102" customFormat="1">
      <c r="A519" s="101"/>
      <c r="AG519" s="101"/>
    </row>
    <row r="520" spans="1:33" s="102" customFormat="1">
      <c r="A520" s="101"/>
      <c r="AG520" s="101"/>
    </row>
    <row r="521" spans="1:33" s="102" customFormat="1">
      <c r="A521" s="101"/>
      <c r="AG521" s="101"/>
    </row>
    <row r="522" spans="1:33" s="102" customFormat="1">
      <c r="A522" s="101"/>
      <c r="AG522" s="101"/>
    </row>
    <row r="523" spans="1:33" s="102" customFormat="1">
      <c r="A523" s="101"/>
      <c r="AG523" s="101"/>
    </row>
    <row r="524" spans="1:33" s="102" customFormat="1">
      <c r="A524" s="101"/>
      <c r="AG524" s="101"/>
    </row>
    <row r="525" spans="1:33" s="102" customFormat="1">
      <c r="A525" s="101"/>
      <c r="AG525" s="101"/>
    </row>
    <row r="526" spans="1:33" s="102" customFormat="1">
      <c r="A526" s="101"/>
      <c r="AG526" s="101"/>
    </row>
    <row r="527" spans="1:33" s="102" customFormat="1">
      <c r="A527" s="101"/>
      <c r="AG527" s="101"/>
    </row>
    <row r="528" spans="1:33" s="102" customFormat="1">
      <c r="A528" s="101"/>
      <c r="AG528" s="101"/>
    </row>
    <row r="529" spans="1:33" s="102" customFormat="1">
      <c r="A529" s="101"/>
      <c r="AG529" s="101"/>
    </row>
    <row r="530" spans="1:33" s="102" customFormat="1">
      <c r="A530" s="101"/>
      <c r="AG530" s="101"/>
    </row>
    <row r="531" spans="1:33" s="102" customFormat="1">
      <c r="A531" s="101"/>
      <c r="AG531" s="101"/>
    </row>
    <row r="532" spans="1:33" s="102" customFormat="1">
      <c r="A532" s="101"/>
      <c r="AG532" s="101"/>
    </row>
    <row r="533" spans="1:33" s="102" customFormat="1">
      <c r="A533" s="101"/>
      <c r="AG533" s="101"/>
    </row>
    <row r="534" spans="1:33" s="102" customFormat="1">
      <c r="A534" s="101"/>
      <c r="AG534" s="101"/>
    </row>
    <row r="535" spans="1:33" s="102" customFormat="1">
      <c r="A535" s="101"/>
      <c r="AG535" s="101"/>
    </row>
    <row r="536" spans="1:33" s="102" customFormat="1">
      <c r="A536" s="101"/>
      <c r="AG536" s="101"/>
    </row>
    <row r="537" spans="1:33" s="102" customFormat="1">
      <c r="A537" s="101"/>
      <c r="AG537" s="101"/>
    </row>
    <row r="538" spans="1:33" s="102" customFormat="1">
      <c r="A538" s="101"/>
      <c r="AG538" s="101"/>
    </row>
    <row r="539" spans="1:33" s="102" customFormat="1">
      <c r="A539" s="101"/>
      <c r="AG539" s="101"/>
    </row>
    <row r="540" spans="1:33" s="102" customFormat="1">
      <c r="A540" s="101"/>
      <c r="AG540" s="101"/>
    </row>
    <row r="541" spans="1:33" s="102" customFormat="1">
      <c r="A541" s="101"/>
      <c r="AG541" s="101"/>
    </row>
    <row r="542" spans="1:33" s="102" customFormat="1">
      <c r="A542" s="101"/>
      <c r="AG542" s="101"/>
    </row>
    <row r="543" spans="1:33" s="102" customFormat="1">
      <c r="A543" s="101"/>
      <c r="AG543" s="101"/>
    </row>
    <row r="544" spans="1:33" s="102" customFormat="1">
      <c r="A544" s="101"/>
      <c r="AG544" s="101"/>
    </row>
    <row r="545" spans="1:33" s="102" customFormat="1">
      <c r="A545" s="101"/>
      <c r="AG545" s="101"/>
    </row>
    <row r="546" spans="1:33" s="102" customFormat="1">
      <c r="A546" s="101"/>
      <c r="AG546" s="101"/>
    </row>
    <row r="547" spans="1:33" s="102" customFormat="1">
      <c r="A547" s="101"/>
      <c r="AG547" s="101"/>
    </row>
    <row r="548" spans="1:33" s="102" customFormat="1">
      <c r="A548" s="101"/>
      <c r="AG548" s="101"/>
    </row>
    <row r="549" spans="1:33" s="102" customFormat="1">
      <c r="A549" s="101"/>
      <c r="AG549" s="101"/>
    </row>
    <row r="550" spans="1:33" s="102" customFormat="1">
      <c r="A550" s="101"/>
      <c r="AG550" s="101"/>
    </row>
    <row r="551" spans="1:33" s="102" customFormat="1">
      <c r="A551" s="101"/>
      <c r="AG551" s="101"/>
    </row>
    <row r="552" spans="1:33" s="102" customFormat="1">
      <c r="A552" s="101"/>
      <c r="AG552" s="101"/>
    </row>
    <row r="553" spans="1:33" s="102" customFormat="1">
      <c r="A553" s="101"/>
      <c r="AG553" s="101"/>
    </row>
    <row r="554" spans="1:33" s="102" customFormat="1">
      <c r="A554" s="101"/>
      <c r="AG554" s="101"/>
    </row>
    <row r="555" spans="1:33" s="102" customFormat="1">
      <c r="A555" s="101"/>
      <c r="AG555" s="101"/>
    </row>
    <row r="556" spans="1:33" s="102" customFormat="1">
      <c r="A556" s="101"/>
      <c r="AG556" s="101"/>
    </row>
    <row r="557" spans="1:33" s="102" customFormat="1">
      <c r="A557" s="101"/>
      <c r="AG557" s="101"/>
    </row>
    <row r="558" spans="1:33" s="102" customFormat="1">
      <c r="A558" s="101"/>
      <c r="AG558" s="101"/>
    </row>
    <row r="559" spans="1:33" s="102" customFormat="1">
      <c r="A559" s="101"/>
      <c r="AG559" s="101"/>
    </row>
    <row r="560" spans="1:33" s="102" customFormat="1">
      <c r="A560" s="101"/>
      <c r="AG560" s="101"/>
    </row>
    <row r="561" spans="1:33" s="102" customFormat="1">
      <c r="A561" s="101"/>
      <c r="AG561" s="101"/>
    </row>
    <row r="562" spans="1:33" s="102" customFormat="1">
      <c r="A562" s="101"/>
      <c r="AG562" s="101"/>
    </row>
    <row r="563" spans="1:33" s="102" customFormat="1">
      <c r="A563" s="101"/>
      <c r="AG563" s="101"/>
    </row>
    <row r="564" spans="1:33" s="102" customFormat="1">
      <c r="A564" s="101"/>
      <c r="AG564" s="101"/>
    </row>
    <row r="565" spans="1:33" s="102" customFormat="1">
      <c r="A565" s="101"/>
      <c r="AG565" s="101"/>
    </row>
    <row r="566" spans="1:33" s="102" customFormat="1">
      <c r="A566" s="101"/>
      <c r="AG566" s="101"/>
    </row>
    <row r="567" spans="1:33" s="102" customFormat="1">
      <c r="A567" s="101"/>
      <c r="AG567" s="101"/>
    </row>
    <row r="568" spans="1:33" s="102" customFormat="1">
      <c r="A568" s="101"/>
      <c r="AG568" s="101"/>
    </row>
    <row r="569" spans="1:33" s="102" customFormat="1">
      <c r="A569" s="101"/>
      <c r="AG569" s="101"/>
    </row>
    <row r="570" spans="1:33" s="102" customFormat="1">
      <c r="A570" s="101"/>
      <c r="AG570" s="101"/>
    </row>
    <row r="571" spans="1:33" s="102" customFormat="1">
      <c r="A571" s="101"/>
      <c r="AG571" s="101"/>
    </row>
    <row r="572" spans="1:33" s="102" customFormat="1">
      <c r="A572" s="101"/>
      <c r="AG572" s="101"/>
    </row>
    <row r="573" spans="1:33" s="102" customFormat="1">
      <c r="A573" s="101"/>
      <c r="AG573" s="101"/>
    </row>
    <row r="574" spans="1:33" s="102" customFormat="1">
      <c r="A574" s="101"/>
      <c r="AG574" s="101"/>
    </row>
    <row r="575" spans="1:33" s="102" customFormat="1">
      <c r="A575" s="101"/>
      <c r="AG575" s="101"/>
    </row>
    <row r="576" spans="1:33" s="102" customFormat="1">
      <c r="A576" s="101"/>
      <c r="AG576" s="101"/>
    </row>
    <row r="577" spans="1:33" s="102" customFormat="1">
      <c r="A577" s="101"/>
      <c r="AG577" s="101"/>
    </row>
    <row r="578" spans="1:33" s="102" customFormat="1">
      <c r="A578" s="101"/>
      <c r="AG578" s="101"/>
    </row>
    <row r="579" spans="1:33" s="102" customFormat="1">
      <c r="A579" s="101"/>
      <c r="AG579" s="101"/>
    </row>
    <row r="580" spans="1:33" s="102" customFormat="1">
      <c r="A580" s="101"/>
      <c r="AG580" s="101"/>
    </row>
    <row r="581" spans="1:33" s="102" customFormat="1">
      <c r="A581" s="101"/>
      <c r="AG581" s="101"/>
    </row>
    <row r="582" spans="1:33" s="102" customFormat="1">
      <c r="A582" s="101"/>
      <c r="AG582" s="101"/>
    </row>
    <row r="583" spans="1:33" s="102" customFormat="1">
      <c r="A583" s="101"/>
      <c r="AG583" s="101"/>
    </row>
    <row r="584" spans="1:33" s="102" customFormat="1">
      <c r="A584" s="101"/>
      <c r="AG584" s="101"/>
    </row>
    <row r="585" spans="1:33" s="102" customFormat="1">
      <c r="A585" s="101"/>
      <c r="AG585" s="101"/>
    </row>
    <row r="586" spans="1:33" s="102" customFormat="1">
      <c r="A586" s="101"/>
      <c r="AG586" s="101"/>
    </row>
    <row r="587" spans="1:33" s="102" customFormat="1">
      <c r="A587" s="101"/>
      <c r="AG587" s="101"/>
    </row>
    <row r="588" spans="1:33" s="102" customFormat="1">
      <c r="A588" s="101"/>
      <c r="AG588" s="101"/>
    </row>
    <row r="589" spans="1:33" s="102" customFormat="1">
      <c r="A589" s="101"/>
      <c r="AG589" s="101"/>
    </row>
    <row r="590" spans="1:33" s="102" customFormat="1">
      <c r="A590" s="101"/>
      <c r="AG590" s="101"/>
    </row>
    <row r="591" spans="1:33" s="102" customFormat="1">
      <c r="A591" s="101"/>
      <c r="AG591" s="101"/>
    </row>
    <row r="592" spans="1:33" s="102" customFormat="1">
      <c r="A592" s="101"/>
      <c r="AG592" s="101"/>
    </row>
    <row r="593" spans="1:33" s="102" customFormat="1">
      <c r="A593" s="101"/>
      <c r="AG593" s="101"/>
    </row>
    <row r="594" spans="1:33" s="102" customFormat="1">
      <c r="A594" s="101"/>
      <c r="AG594" s="101"/>
    </row>
    <row r="595" spans="1:33" s="102" customFormat="1">
      <c r="A595" s="101"/>
      <c r="AG595" s="101"/>
    </row>
    <row r="596" spans="1:33" s="102" customFormat="1">
      <c r="A596" s="101"/>
      <c r="AG596" s="101"/>
    </row>
    <row r="597" spans="1:33" s="102" customFormat="1">
      <c r="A597" s="101"/>
      <c r="AG597" s="101"/>
    </row>
    <row r="598" spans="1:33" s="102" customFormat="1">
      <c r="A598" s="101"/>
      <c r="AG598" s="101"/>
    </row>
    <row r="599" spans="1:33" s="102" customFormat="1">
      <c r="A599" s="101"/>
      <c r="AG599" s="101"/>
    </row>
    <row r="600" spans="1:33" s="102" customFormat="1">
      <c r="A600" s="101"/>
      <c r="AG600" s="101"/>
    </row>
    <row r="601" spans="1:33" s="102" customFormat="1">
      <c r="A601" s="101"/>
      <c r="AG601" s="101"/>
    </row>
    <row r="602" spans="1:33" s="102" customFormat="1">
      <c r="A602" s="101"/>
      <c r="AG602" s="101"/>
    </row>
    <row r="603" spans="1:33" s="102" customFormat="1">
      <c r="A603" s="101"/>
      <c r="AG603" s="101"/>
    </row>
    <row r="604" spans="1:33" s="102" customFormat="1">
      <c r="A604" s="101"/>
      <c r="AG604" s="101"/>
    </row>
    <row r="605" spans="1:33" s="102" customFormat="1">
      <c r="A605" s="101"/>
      <c r="AG605" s="101"/>
    </row>
    <row r="606" spans="1:33" s="102" customFormat="1">
      <c r="A606" s="101"/>
      <c r="AG606" s="101"/>
    </row>
    <row r="607" spans="1:33" s="102" customFormat="1">
      <c r="A607" s="101"/>
      <c r="AG607" s="101"/>
    </row>
    <row r="608" spans="1:33" s="102" customFormat="1">
      <c r="A608" s="101"/>
      <c r="AG608" s="101"/>
    </row>
    <row r="609" spans="1:33" s="102" customFormat="1">
      <c r="A609" s="101"/>
      <c r="AG609" s="101"/>
    </row>
    <row r="610" spans="1:33" s="102" customFormat="1">
      <c r="A610" s="101"/>
      <c r="AG610" s="101"/>
    </row>
    <row r="611" spans="1:33" s="102" customFormat="1">
      <c r="A611" s="101"/>
      <c r="AG611" s="101"/>
    </row>
    <row r="612" spans="1:33" s="102" customFormat="1">
      <c r="A612" s="101"/>
      <c r="AG612" s="101"/>
    </row>
    <row r="613" spans="1:33" s="102" customFormat="1">
      <c r="A613" s="101"/>
      <c r="AG613" s="101"/>
    </row>
    <row r="614" spans="1:33" s="102" customFormat="1">
      <c r="A614" s="101"/>
      <c r="AG614" s="101"/>
    </row>
    <row r="615" spans="1:33" s="102" customFormat="1">
      <c r="A615" s="101"/>
      <c r="AG615" s="101"/>
    </row>
    <row r="616" spans="1:33" s="102" customFormat="1">
      <c r="A616" s="101"/>
      <c r="AG616" s="101"/>
    </row>
    <row r="617" spans="1:33" s="102" customFormat="1">
      <c r="A617" s="101"/>
      <c r="AG617" s="101"/>
    </row>
    <row r="618" spans="1:33" s="102" customFormat="1">
      <c r="A618" s="101"/>
      <c r="AG618" s="101"/>
    </row>
    <row r="619" spans="1:33" s="102" customFormat="1">
      <c r="A619" s="101"/>
      <c r="AG619" s="101"/>
    </row>
    <row r="620" spans="1:33" s="102" customFormat="1">
      <c r="A620" s="101"/>
      <c r="AG620" s="101"/>
    </row>
    <row r="621" spans="1:33" s="102" customFormat="1">
      <c r="A621" s="101"/>
      <c r="AG621" s="101"/>
    </row>
    <row r="622" spans="1:33" s="102" customFormat="1">
      <c r="A622" s="101"/>
      <c r="AG622" s="101"/>
    </row>
    <row r="623" spans="1:33" s="102" customFormat="1">
      <c r="A623" s="101"/>
      <c r="AG623" s="101"/>
    </row>
    <row r="624" spans="1:33" s="102" customFormat="1">
      <c r="A624" s="101"/>
      <c r="AG624" s="101"/>
    </row>
    <row r="625" spans="1:33" s="102" customFormat="1">
      <c r="A625" s="101"/>
      <c r="AG625" s="101"/>
    </row>
    <row r="626" spans="1:33" s="102" customFormat="1">
      <c r="A626" s="101"/>
      <c r="AG626" s="101"/>
    </row>
    <row r="627" spans="1:33" s="102" customFormat="1">
      <c r="A627" s="101"/>
      <c r="AG627" s="101"/>
    </row>
    <row r="628" spans="1:33" s="102" customFormat="1">
      <c r="A628" s="101"/>
      <c r="AG628" s="101"/>
    </row>
    <row r="629" spans="1:33" s="102" customFormat="1">
      <c r="A629" s="101"/>
      <c r="AG629" s="101"/>
    </row>
    <row r="630" spans="1:33" s="102" customFormat="1">
      <c r="A630" s="101"/>
      <c r="AG630" s="101"/>
    </row>
    <row r="631" spans="1:33" s="102" customFormat="1">
      <c r="A631" s="101"/>
      <c r="AG631" s="101"/>
    </row>
    <row r="632" spans="1:33" s="102" customFormat="1">
      <c r="A632" s="101"/>
      <c r="AG632" s="101"/>
    </row>
    <row r="633" spans="1:33" s="102" customFormat="1">
      <c r="A633" s="101"/>
      <c r="AG633" s="101"/>
    </row>
    <row r="634" spans="1:33" s="102" customFormat="1">
      <c r="A634" s="101"/>
      <c r="AG634" s="101"/>
    </row>
    <row r="635" spans="1:33" s="102" customFormat="1">
      <c r="A635" s="101"/>
      <c r="AG635" s="101"/>
    </row>
    <row r="636" spans="1:33" s="102" customFormat="1">
      <c r="A636" s="101"/>
      <c r="AG636" s="101"/>
    </row>
    <row r="637" spans="1:33" s="102" customFormat="1">
      <c r="A637" s="101"/>
      <c r="AG637" s="101"/>
    </row>
    <row r="638" spans="1:33" s="102" customFormat="1">
      <c r="A638" s="101"/>
      <c r="AG638" s="101"/>
    </row>
    <row r="639" spans="1:33" s="102" customFormat="1">
      <c r="A639" s="101"/>
      <c r="AG639" s="101"/>
    </row>
    <row r="640" spans="1:33" s="102" customFormat="1">
      <c r="A640" s="101"/>
      <c r="AG640" s="101"/>
    </row>
    <row r="641" spans="1:33" s="102" customFormat="1">
      <c r="A641" s="101"/>
      <c r="AG641" s="101"/>
    </row>
    <row r="642" spans="1:33" s="102" customFormat="1">
      <c r="A642" s="101"/>
      <c r="AG642" s="101"/>
    </row>
    <row r="643" spans="1:33" s="102" customFormat="1">
      <c r="A643" s="101"/>
      <c r="AG643" s="101"/>
    </row>
    <row r="644" spans="1:33" s="102" customFormat="1">
      <c r="A644" s="101"/>
      <c r="AG644" s="101"/>
    </row>
    <row r="645" spans="1:33" s="102" customFormat="1">
      <c r="A645" s="101"/>
      <c r="AG645" s="101"/>
    </row>
    <row r="646" spans="1:33" s="102" customFormat="1">
      <c r="A646" s="101"/>
      <c r="AG646" s="101"/>
    </row>
    <row r="647" spans="1:33" s="102" customFormat="1">
      <c r="A647" s="101"/>
      <c r="AG647" s="101"/>
    </row>
    <row r="648" spans="1:33" s="102" customFormat="1">
      <c r="A648" s="101"/>
      <c r="AG648" s="101"/>
    </row>
    <row r="649" spans="1:33" s="102" customFormat="1">
      <c r="A649" s="101"/>
      <c r="AG649" s="101"/>
    </row>
    <row r="650" spans="1:33" s="102" customFormat="1">
      <c r="A650" s="101"/>
      <c r="AG650" s="101"/>
    </row>
    <row r="651" spans="1:33" s="102" customFormat="1">
      <c r="A651" s="101"/>
      <c r="AG651" s="101"/>
    </row>
    <row r="652" spans="1:33" s="102" customFormat="1">
      <c r="A652" s="101"/>
      <c r="AG652" s="101"/>
    </row>
    <row r="653" spans="1:33" s="102" customFormat="1">
      <c r="A653" s="101"/>
      <c r="AG653" s="101"/>
    </row>
    <row r="654" spans="1:33" s="102" customFormat="1">
      <c r="A654" s="101"/>
      <c r="AG654" s="101"/>
    </row>
    <row r="655" spans="1:33" s="102" customFormat="1">
      <c r="A655" s="101"/>
      <c r="AG655" s="101"/>
    </row>
    <row r="656" spans="1:33" s="102" customFormat="1">
      <c r="A656" s="101"/>
      <c r="AG656" s="101"/>
    </row>
    <row r="657" spans="1:33" s="102" customFormat="1">
      <c r="A657" s="101"/>
      <c r="AG657" s="101"/>
    </row>
    <row r="658" spans="1:33" s="102" customFormat="1">
      <c r="A658" s="101"/>
      <c r="AG658" s="101"/>
    </row>
    <row r="659" spans="1:33" s="102" customFormat="1">
      <c r="A659" s="101"/>
      <c r="AG659" s="101"/>
    </row>
    <row r="660" spans="1:33" s="102" customFormat="1">
      <c r="A660" s="101"/>
      <c r="AG660" s="101"/>
    </row>
    <row r="661" spans="1:33" s="102" customFormat="1">
      <c r="A661" s="101"/>
      <c r="AG661" s="101"/>
    </row>
    <row r="662" spans="1:33" s="102" customFormat="1">
      <c r="A662" s="101"/>
      <c r="AG662" s="101"/>
    </row>
    <row r="663" spans="1:33" s="102" customFormat="1">
      <c r="A663" s="101"/>
      <c r="AG663" s="101"/>
    </row>
    <row r="664" spans="1:33" s="102" customFormat="1">
      <c r="A664" s="101"/>
      <c r="AG664" s="101"/>
    </row>
    <row r="665" spans="1:33" s="102" customFormat="1">
      <c r="A665" s="101"/>
      <c r="AG665" s="101"/>
    </row>
    <row r="666" spans="1:33" s="102" customFormat="1">
      <c r="A666" s="101"/>
      <c r="AG666" s="101"/>
    </row>
    <row r="667" spans="1:33" s="102" customFormat="1">
      <c r="A667" s="101"/>
      <c r="AG667" s="101"/>
    </row>
    <row r="668" spans="1:33" s="102" customFormat="1">
      <c r="A668" s="101"/>
      <c r="AG668" s="101"/>
    </row>
    <row r="669" spans="1:33" s="102" customFormat="1">
      <c r="A669" s="101"/>
      <c r="AG669" s="101"/>
    </row>
    <row r="670" spans="1:33" s="102" customFormat="1">
      <c r="A670" s="101"/>
      <c r="AG670" s="101"/>
    </row>
    <row r="671" spans="1:33" s="102" customFormat="1">
      <c r="A671" s="101"/>
      <c r="AG671" s="101"/>
    </row>
    <row r="672" spans="1:33" s="102" customFormat="1">
      <c r="A672" s="101"/>
      <c r="AG672" s="101"/>
    </row>
    <row r="673" spans="1:33" s="102" customFormat="1">
      <c r="A673" s="101"/>
      <c r="AG673" s="101"/>
    </row>
    <row r="674" spans="1:33" s="102" customFormat="1">
      <c r="A674" s="101"/>
      <c r="AG674" s="101"/>
    </row>
    <row r="675" spans="1:33" s="102" customFormat="1">
      <c r="A675" s="101"/>
      <c r="AG675" s="101"/>
    </row>
    <row r="676" spans="1:33" s="102" customFormat="1">
      <c r="A676" s="101"/>
      <c r="AG676" s="101"/>
    </row>
    <row r="677" spans="1:33" s="102" customFormat="1">
      <c r="A677" s="101"/>
      <c r="AG677" s="101"/>
    </row>
    <row r="678" spans="1:33" s="102" customFormat="1">
      <c r="A678" s="101"/>
      <c r="AG678" s="101"/>
    </row>
    <row r="679" spans="1:33" s="102" customFormat="1">
      <c r="A679" s="101"/>
      <c r="AG679" s="101"/>
    </row>
    <row r="680" spans="1:33" s="102" customFormat="1">
      <c r="A680" s="101"/>
      <c r="AG680" s="101"/>
    </row>
    <row r="681" spans="1:33" s="102" customFormat="1">
      <c r="A681" s="101"/>
      <c r="AG681" s="101"/>
    </row>
    <row r="682" spans="1:33" s="102" customFormat="1">
      <c r="A682" s="101"/>
      <c r="AG682" s="101"/>
    </row>
    <row r="683" spans="1:33" s="102" customFormat="1">
      <c r="A683" s="101"/>
      <c r="AG683" s="101"/>
    </row>
    <row r="684" spans="1:33" s="102" customFormat="1">
      <c r="A684" s="101"/>
      <c r="AG684" s="101"/>
    </row>
    <row r="685" spans="1:33" s="102" customFormat="1">
      <c r="A685" s="101"/>
      <c r="AG685" s="101"/>
    </row>
    <row r="686" spans="1:33" s="102" customFormat="1">
      <c r="A686" s="101"/>
      <c r="AG686" s="101"/>
    </row>
    <row r="687" spans="1:33" s="102" customFormat="1">
      <c r="A687" s="101"/>
      <c r="AG687" s="101"/>
    </row>
    <row r="688" spans="1:33" s="102" customFormat="1">
      <c r="A688" s="101"/>
      <c r="AG688" s="101"/>
    </row>
    <row r="689" spans="1:33" s="102" customFormat="1">
      <c r="A689" s="101"/>
      <c r="AG689" s="101"/>
    </row>
    <row r="690" spans="1:33" s="102" customFormat="1">
      <c r="A690" s="101"/>
      <c r="AG690" s="101"/>
    </row>
    <row r="691" spans="1:33" s="102" customFormat="1">
      <c r="A691" s="101"/>
      <c r="AG691" s="101"/>
    </row>
    <row r="692" spans="1:33" s="102" customFormat="1">
      <c r="A692" s="101"/>
      <c r="AG692" s="101"/>
    </row>
    <row r="693" spans="1:33" s="102" customFormat="1">
      <c r="A693" s="101"/>
      <c r="AG693" s="101"/>
    </row>
    <row r="694" spans="1:33" s="102" customFormat="1">
      <c r="A694" s="101"/>
      <c r="AG694" s="101"/>
    </row>
    <row r="695" spans="1:33" s="102" customFormat="1">
      <c r="A695" s="101"/>
      <c r="AG695" s="101"/>
    </row>
    <row r="696" spans="1:33" s="102" customFormat="1">
      <c r="A696" s="101"/>
      <c r="AG696" s="101"/>
    </row>
    <row r="697" spans="1:33" s="102" customFormat="1">
      <c r="A697" s="101"/>
      <c r="AG697" s="101"/>
    </row>
    <row r="698" spans="1:33" s="102" customFormat="1">
      <c r="A698" s="101"/>
      <c r="AG698" s="101"/>
    </row>
    <row r="699" spans="1:33" s="102" customFormat="1">
      <c r="A699" s="101"/>
      <c r="AG699" s="101"/>
    </row>
    <row r="700" spans="1:33" s="102" customFormat="1">
      <c r="A700" s="101"/>
      <c r="AG700" s="101"/>
    </row>
    <row r="701" spans="1:33" s="102" customFormat="1">
      <c r="A701" s="101"/>
      <c r="AG701" s="101"/>
    </row>
    <row r="702" spans="1:33" s="102" customFormat="1">
      <c r="A702" s="101"/>
      <c r="AG702" s="101"/>
    </row>
    <row r="703" spans="1:33" s="102" customFormat="1">
      <c r="A703" s="101"/>
      <c r="AG703" s="101"/>
    </row>
    <row r="704" spans="1:33" s="102" customFormat="1">
      <c r="A704" s="101"/>
      <c r="AG704" s="101"/>
    </row>
    <row r="705" spans="1:33" s="102" customFormat="1">
      <c r="A705" s="101"/>
      <c r="AG705" s="101"/>
    </row>
    <row r="706" spans="1:33" s="102" customFormat="1">
      <c r="A706" s="101"/>
      <c r="AG706" s="101"/>
    </row>
    <row r="707" spans="1:33" s="102" customFormat="1">
      <c r="A707" s="101"/>
      <c r="AG707" s="101"/>
    </row>
    <row r="708" spans="1:33" s="102" customFormat="1">
      <c r="A708" s="101"/>
      <c r="AG708" s="101"/>
    </row>
    <row r="709" spans="1:33" s="102" customFormat="1">
      <c r="A709" s="101"/>
      <c r="AG709" s="101"/>
    </row>
    <row r="710" spans="1:33" s="102" customFormat="1">
      <c r="A710" s="101"/>
      <c r="AG710" s="101"/>
    </row>
    <row r="711" spans="1:33" s="102" customFormat="1">
      <c r="A711" s="101"/>
      <c r="AG711" s="101"/>
    </row>
    <row r="712" spans="1:33" s="102" customFormat="1">
      <c r="A712" s="101"/>
      <c r="AG712" s="101"/>
    </row>
    <row r="713" spans="1:33" s="102" customFormat="1">
      <c r="A713" s="101"/>
      <c r="AG713" s="101"/>
    </row>
    <row r="714" spans="1:33" s="102" customFormat="1">
      <c r="A714" s="101"/>
      <c r="AG714" s="101"/>
    </row>
    <row r="715" spans="1:33" s="102" customFormat="1">
      <c r="A715" s="101"/>
      <c r="AG715" s="101"/>
    </row>
    <row r="716" spans="1:33" s="102" customFormat="1">
      <c r="A716" s="101"/>
      <c r="AG716" s="101"/>
    </row>
    <row r="717" spans="1:33" s="102" customFormat="1">
      <c r="A717" s="101"/>
      <c r="AG717" s="101"/>
    </row>
    <row r="718" spans="1:33" s="102" customFormat="1">
      <c r="A718" s="101"/>
      <c r="AG718" s="101"/>
    </row>
    <row r="719" spans="1:33" s="102" customFormat="1">
      <c r="A719" s="101"/>
      <c r="AG719" s="101"/>
    </row>
    <row r="720" spans="1:33" s="102" customFormat="1">
      <c r="A720" s="101"/>
      <c r="AG720" s="101"/>
    </row>
    <row r="721" spans="1:33" s="102" customFormat="1">
      <c r="A721" s="101"/>
      <c r="AG721" s="101"/>
    </row>
    <row r="722" spans="1:33" s="102" customFormat="1">
      <c r="A722" s="101"/>
      <c r="AG722" s="101"/>
    </row>
    <row r="723" spans="1:33" s="102" customFormat="1">
      <c r="A723" s="101"/>
      <c r="AG723" s="101"/>
    </row>
    <row r="724" spans="1:33" s="102" customFormat="1">
      <c r="A724" s="101"/>
      <c r="AG724" s="101"/>
    </row>
    <row r="725" spans="1:33" s="102" customFormat="1">
      <c r="A725" s="101"/>
      <c r="AG725" s="101"/>
    </row>
    <row r="726" spans="1:33" s="102" customFormat="1">
      <c r="A726" s="101"/>
      <c r="AG726" s="101"/>
    </row>
    <row r="727" spans="1:33" s="102" customFormat="1">
      <c r="A727" s="101"/>
      <c r="AG727" s="101"/>
    </row>
    <row r="728" spans="1:33" s="102" customFormat="1">
      <c r="A728" s="101"/>
      <c r="AG728" s="101"/>
    </row>
    <row r="729" spans="1:33" s="102" customFormat="1">
      <c r="A729" s="101"/>
      <c r="AG729" s="101"/>
    </row>
    <row r="730" spans="1:33" s="102" customFormat="1">
      <c r="A730" s="101"/>
      <c r="AG730" s="101"/>
    </row>
    <row r="731" spans="1:33" s="102" customFormat="1">
      <c r="A731" s="101"/>
      <c r="AG731" s="101"/>
    </row>
    <row r="732" spans="1:33" s="102" customFormat="1">
      <c r="A732" s="101"/>
      <c r="AG732" s="101"/>
    </row>
    <row r="733" spans="1:33" s="102" customFormat="1">
      <c r="A733" s="101"/>
      <c r="AG733" s="101"/>
    </row>
    <row r="734" spans="1:33" s="102" customFormat="1">
      <c r="A734" s="101"/>
      <c r="AG734" s="101"/>
    </row>
    <row r="735" spans="1:33" s="102" customFormat="1">
      <c r="A735" s="101"/>
      <c r="AG735" s="101"/>
    </row>
    <row r="736" spans="1:33" s="102" customFormat="1">
      <c r="A736" s="101"/>
      <c r="AG736" s="101"/>
    </row>
    <row r="737" spans="1:33" s="102" customFormat="1">
      <c r="A737" s="101"/>
      <c r="AG737" s="101"/>
    </row>
    <row r="738" spans="1:33" s="102" customFormat="1">
      <c r="A738" s="101"/>
      <c r="AG738" s="101"/>
    </row>
    <row r="739" spans="1:33" s="102" customFormat="1">
      <c r="A739" s="101"/>
      <c r="AG739" s="101"/>
    </row>
    <row r="740" spans="1:33" s="102" customFormat="1">
      <c r="A740" s="101"/>
      <c r="AG740" s="101"/>
    </row>
    <row r="741" spans="1:33" s="102" customFormat="1">
      <c r="A741" s="101"/>
      <c r="AG741" s="101"/>
    </row>
    <row r="742" spans="1:33" s="102" customFormat="1">
      <c r="A742" s="101"/>
      <c r="AG742" s="101"/>
    </row>
    <row r="743" spans="1:33" s="102" customFormat="1">
      <c r="A743" s="101"/>
      <c r="AG743" s="101"/>
    </row>
    <row r="744" spans="1:33" s="102" customFormat="1">
      <c r="A744" s="101"/>
      <c r="AG744" s="101"/>
    </row>
    <row r="745" spans="1:33" s="102" customFormat="1">
      <c r="A745" s="101"/>
      <c r="AG745" s="101"/>
    </row>
    <row r="746" spans="1:33" s="102" customFormat="1">
      <c r="A746" s="101"/>
      <c r="AG746" s="101"/>
    </row>
    <row r="747" spans="1:33" s="102" customFormat="1">
      <c r="A747" s="101"/>
      <c r="AG747" s="101"/>
    </row>
    <row r="748" spans="1:33" s="102" customFormat="1">
      <c r="A748" s="101"/>
      <c r="AG748" s="101"/>
    </row>
    <row r="749" spans="1:33" s="102" customFormat="1">
      <c r="A749" s="101"/>
      <c r="AG749" s="101"/>
    </row>
    <row r="750" spans="1:33" s="102" customFormat="1">
      <c r="A750" s="101"/>
      <c r="AG750" s="101"/>
    </row>
    <row r="751" spans="1:33" s="102" customFormat="1">
      <c r="A751" s="101"/>
      <c r="AG751" s="101"/>
    </row>
    <row r="752" spans="1:33" s="102" customFormat="1">
      <c r="A752" s="101"/>
      <c r="AG752" s="101"/>
    </row>
    <row r="753" spans="1:33" s="102" customFormat="1">
      <c r="A753" s="101"/>
      <c r="AG753" s="101"/>
    </row>
    <row r="754" spans="1:33" s="102" customFormat="1">
      <c r="A754" s="101"/>
      <c r="AG754" s="101"/>
    </row>
    <row r="755" spans="1:33" s="102" customFormat="1">
      <c r="A755" s="101"/>
      <c r="AG755" s="101"/>
    </row>
    <row r="756" spans="1:33" s="102" customFormat="1">
      <c r="A756" s="101"/>
      <c r="AG756" s="101"/>
    </row>
    <row r="757" spans="1:33" s="102" customFormat="1">
      <c r="A757" s="101"/>
      <c r="AG757" s="101"/>
    </row>
    <row r="758" spans="1:33" s="102" customFormat="1">
      <c r="A758" s="101"/>
      <c r="AG758" s="101"/>
    </row>
    <row r="759" spans="1:33" s="102" customFormat="1">
      <c r="A759" s="101"/>
      <c r="AG759" s="101"/>
    </row>
    <row r="760" spans="1:33" s="102" customFormat="1">
      <c r="A760" s="101"/>
      <c r="AG760" s="101"/>
    </row>
    <row r="761" spans="1:33" s="102" customFormat="1">
      <c r="A761" s="101"/>
      <c r="AG761" s="101"/>
    </row>
    <row r="762" spans="1:33" s="102" customFormat="1">
      <c r="A762" s="101"/>
      <c r="AG762" s="101"/>
    </row>
    <row r="763" spans="1:33" s="102" customFormat="1">
      <c r="A763" s="101"/>
      <c r="AG763" s="101"/>
    </row>
    <row r="764" spans="1:33" s="102" customFormat="1">
      <c r="A764" s="101"/>
      <c r="AG764" s="101"/>
    </row>
    <row r="765" spans="1:33" s="102" customFormat="1">
      <c r="A765" s="101"/>
      <c r="AG765" s="101"/>
    </row>
    <row r="766" spans="1:33" s="102" customFormat="1">
      <c r="A766" s="101"/>
      <c r="AG766" s="101"/>
    </row>
    <row r="767" spans="1:33" s="102" customFormat="1">
      <c r="A767" s="101"/>
      <c r="AG767" s="101"/>
    </row>
    <row r="768" spans="1:33" s="102" customFormat="1">
      <c r="A768" s="101"/>
      <c r="AG768" s="101"/>
    </row>
    <row r="769" spans="1:34" s="102" customFormat="1">
      <c r="A769" s="101"/>
      <c r="AG769" s="101"/>
    </row>
    <row r="770" spans="1:34" s="102" customFormat="1">
      <c r="A770" s="101"/>
      <c r="AG770" s="101"/>
    </row>
    <row r="771" spans="1:34" s="102" customFormat="1">
      <c r="A771" s="101"/>
      <c r="AG771" s="101"/>
    </row>
    <row r="772" spans="1:34" s="102" customFormat="1">
      <c r="A772" s="101"/>
      <c r="AG772" s="101"/>
    </row>
    <row r="773" spans="1:34" s="102" customFormat="1">
      <c r="A773" s="101"/>
      <c r="AG773" s="101"/>
    </row>
    <row r="774" spans="1:34" s="102" customFormat="1">
      <c r="A774" s="101"/>
      <c r="AG774" s="101"/>
    </row>
    <row r="775" spans="1:34" s="102" customFormat="1">
      <c r="A775" s="101"/>
      <c r="AG775" s="101"/>
    </row>
    <row r="776" spans="1:34" s="102" customFormat="1">
      <c r="A776" s="101"/>
      <c r="AG776" s="101"/>
    </row>
    <row r="777" spans="1:34" s="102" customFormat="1">
      <c r="A777" s="101"/>
      <c r="AG777" s="101"/>
    </row>
    <row r="778" spans="1:34" s="102" customFormat="1">
      <c r="A778" s="101"/>
      <c r="AG778" s="101"/>
    </row>
    <row r="779" spans="1:34" s="102" customFormat="1">
      <c r="A779" s="101"/>
      <c r="AG779" s="101"/>
    </row>
    <row r="780" spans="1:34" s="102" customFormat="1">
      <c r="A780" s="101"/>
      <c r="AG780" s="101"/>
    </row>
    <row r="781" spans="1:34" s="102" customFormat="1">
      <c r="A781" s="101"/>
      <c r="AG781" s="101"/>
    </row>
    <row r="782" spans="1:34" s="102" customFormat="1">
      <c r="A782" s="101"/>
      <c r="AG782" s="101"/>
    </row>
    <row r="783" spans="1:34" s="604" customFormat="1">
      <c r="A783" s="620"/>
      <c r="B783" s="53"/>
      <c r="C783" s="53"/>
      <c r="D783" s="102"/>
      <c r="E783" s="102"/>
      <c r="F783" s="102"/>
      <c r="M783" s="53"/>
      <c r="N783" s="53"/>
      <c r="O783" s="53"/>
      <c r="P783" s="53"/>
      <c r="Q783" s="53"/>
      <c r="R783" s="53"/>
      <c r="S783" s="53"/>
      <c r="T783" s="53"/>
      <c r="U783" s="53"/>
      <c r="V783" s="53"/>
      <c r="W783" s="53"/>
      <c r="X783" s="53"/>
      <c r="Y783" s="53"/>
      <c r="Z783" s="53"/>
      <c r="AA783" s="53"/>
      <c r="AB783" s="53"/>
      <c r="AC783" s="53"/>
      <c r="AD783" s="53"/>
      <c r="AE783" s="53"/>
      <c r="AF783" s="53"/>
      <c r="AG783" s="453"/>
      <c r="AH783" s="53"/>
    </row>
  </sheetData>
  <mergeCells count="3">
    <mergeCell ref="E9:P9"/>
    <mergeCell ref="Q9:AB9"/>
    <mergeCell ref="AD9:AF9"/>
  </mergeCells>
  <hyperlinks>
    <hyperlink ref="P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25" max="1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zoomScale="80" zoomScaleNormal="80" workbookViewId="0">
      <pane ySplit="8" topLeftCell="A73" activePane="bottomLeft" state="frozen"/>
      <selection activeCell="C36" sqref="C36"/>
      <selection pane="bottomLeft" activeCell="G1" sqref="G1"/>
    </sheetView>
  </sheetViews>
  <sheetFormatPr defaultRowHeight="12.75"/>
  <cols>
    <col min="1" max="1" width="0.140625" style="57" customWidth="1"/>
    <col min="2" max="2" width="71.7109375" style="830" customWidth="1"/>
    <col min="3" max="3" width="9.85546875" style="831" customWidth="1"/>
    <col min="4" max="4" width="11.42578125" style="57" customWidth="1"/>
    <col min="5" max="5" width="10.140625" style="57" customWidth="1"/>
    <col min="6" max="6" width="42.7109375" style="57" customWidth="1"/>
    <col min="7" max="7" width="17.28515625" style="57" customWidth="1"/>
    <col min="8" max="8" width="10.42578125" style="376" customWidth="1"/>
    <col min="9" max="9" width="9.85546875" style="57" customWidth="1"/>
    <col min="10" max="10" width="15.28515625" style="57" customWidth="1"/>
    <col min="11" max="11" width="17.42578125" style="57" customWidth="1"/>
    <col min="12" max="252" width="9.85546875" style="57" customWidth="1"/>
    <col min="253" max="16384" width="9.140625" style="57"/>
  </cols>
  <sheetData>
    <row r="1" spans="2:11" ht="15.75">
      <c r="D1" s="832"/>
      <c r="E1" s="832"/>
      <c r="F1" s="997" t="s">
        <v>220</v>
      </c>
      <c r="G1" s="737" t="s">
        <v>1123</v>
      </c>
    </row>
    <row r="2" spans="2:11" ht="15.75">
      <c r="D2" s="832"/>
      <c r="E2" s="832"/>
      <c r="F2" s="997" t="s">
        <v>221</v>
      </c>
    </row>
    <row r="3" spans="2:11" ht="15.75">
      <c r="D3" s="832"/>
      <c r="E3" s="832"/>
      <c r="F3" s="997" t="s">
        <v>1499</v>
      </c>
    </row>
    <row r="4" spans="2:11" ht="15.75">
      <c r="D4" s="832"/>
      <c r="E4" s="832"/>
      <c r="F4" s="997" t="s">
        <v>222</v>
      </c>
    </row>
    <row r="5" spans="2:11">
      <c r="B5" s="833" t="s">
        <v>223</v>
      </c>
    </row>
    <row r="6" spans="2:11" ht="21.75" customHeight="1">
      <c r="B6" s="1339" t="s">
        <v>224</v>
      </c>
      <c r="C6" s="441"/>
      <c r="D6" s="998"/>
      <c r="E6" s="998"/>
      <c r="F6" s="998" t="s">
        <v>225</v>
      </c>
      <c r="G6" s="982" t="s">
        <v>1303</v>
      </c>
      <c r="H6" s="982"/>
      <c r="K6" s="982" t="s">
        <v>1303</v>
      </c>
    </row>
    <row r="7" spans="2:11" ht="42" customHeight="1">
      <c r="B7" s="1340"/>
      <c r="C7" s="999" t="s">
        <v>107</v>
      </c>
      <c r="D7" s="999" t="s">
        <v>628</v>
      </c>
      <c r="E7" s="999" t="s">
        <v>629</v>
      </c>
      <c r="F7" s="999" t="s">
        <v>227</v>
      </c>
      <c r="G7" s="834" t="s">
        <v>1304</v>
      </c>
      <c r="H7" s="834" t="s">
        <v>1305</v>
      </c>
      <c r="K7" s="834" t="s">
        <v>1304</v>
      </c>
    </row>
    <row r="8" spans="2:11" ht="16.5" customHeight="1">
      <c r="B8" s="750"/>
      <c r="D8" s="750"/>
      <c r="E8" s="750"/>
      <c r="F8" s="750"/>
      <c r="G8" s="442" t="s">
        <v>1499</v>
      </c>
      <c r="H8" s="442"/>
      <c r="K8" s="442" t="s">
        <v>1344</v>
      </c>
    </row>
    <row r="9" spans="2:11" ht="15.75" customHeight="1">
      <c r="B9" s="742" t="s">
        <v>228</v>
      </c>
      <c r="C9" s="835"/>
      <c r="D9" s="835"/>
      <c r="E9" s="835">
        <v>30</v>
      </c>
      <c r="F9" s="836" t="s">
        <v>229</v>
      </c>
      <c r="G9" s="443"/>
      <c r="H9" s="443"/>
      <c r="K9" s="443"/>
    </row>
    <row r="10" spans="2:11" ht="15.75" customHeight="1">
      <c r="B10" s="454"/>
      <c r="D10" s="444"/>
      <c r="E10" s="444"/>
      <c r="F10" s="454"/>
      <c r="G10" s="454"/>
      <c r="H10" s="444"/>
      <c r="K10" s="454"/>
    </row>
    <row r="11" spans="2:11" ht="15.75" customHeight="1">
      <c r="B11" s="749" t="s">
        <v>230</v>
      </c>
      <c r="C11" s="1103">
        <v>3655</v>
      </c>
      <c r="D11" s="444" t="s">
        <v>231</v>
      </c>
      <c r="E11" s="444" t="s">
        <v>630</v>
      </c>
      <c r="F11" s="454" t="s">
        <v>1513</v>
      </c>
      <c r="G11" s="454"/>
      <c r="H11" s="444"/>
      <c r="K11" s="454"/>
    </row>
    <row r="12" spans="2:11" ht="15.75" customHeight="1">
      <c r="B12" s="454" t="s">
        <v>232</v>
      </c>
      <c r="C12" s="1103">
        <v>3656</v>
      </c>
      <c r="D12" s="444" t="s">
        <v>233</v>
      </c>
      <c r="E12" s="444">
        <v>40</v>
      </c>
      <c r="F12" s="454" t="s">
        <v>1514</v>
      </c>
      <c r="G12" s="983"/>
      <c r="H12" s="798">
        <v>10</v>
      </c>
      <c r="K12" s="837"/>
    </row>
    <row r="13" spans="2:11" ht="15.75" customHeight="1">
      <c r="B13" s="749" t="s">
        <v>1306</v>
      </c>
      <c r="C13" s="1103">
        <v>3658</v>
      </c>
      <c r="D13" s="750" t="s">
        <v>1307</v>
      </c>
      <c r="E13" s="750">
        <v>51</v>
      </c>
      <c r="F13" s="749" t="s">
        <v>1515</v>
      </c>
      <c r="G13" s="983"/>
      <c r="H13" s="930">
        <v>21</v>
      </c>
      <c r="I13" s="72"/>
      <c r="J13" s="72"/>
      <c r="K13" s="837"/>
    </row>
    <row r="14" spans="2:11" ht="15.75" customHeight="1">
      <c r="B14" s="454" t="s">
        <v>235</v>
      </c>
      <c r="C14" s="1103">
        <v>9741</v>
      </c>
      <c r="D14" s="444" t="s">
        <v>236</v>
      </c>
      <c r="E14" s="444">
        <v>60</v>
      </c>
      <c r="F14" s="454" t="s">
        <v>1516</v>
      </c>
      <c r="G14" s="983"/>
      <c r="H14" s="798">
        <v>30</v>
      </c>
      <c r="I14" s="72"/>
      <c r="J14" s="72"/>
      <c r="K14" s="837"/>
    </row>
    <row r="15" spans="2:11" ht="15.75" customHeight="1">
      <c r="B15" s="454" t="s">
        <v>237</v>
      </c>
      <c r="C15" s="1103">
        <v>3661</v>
      </c>
      <c r="D15" s="444" t="s">
        <v>238</v>
      </c>
      <c r="E15" s="444">
        <v>70</v>
      </c>
      <c r="F15" s="454" t="s">
        <v>1517</v>
      </c>
      <c r="G15" s="983"/>
      <c r="H15" s="798">
        <v>40</v>
      </c>
      <c r="I15" s="72"/>
      <c r="J15" s="72"/>
      <c r="K15" s="837"/>
    </row>
    <row r="16" spans="2:11" ht="15.75" customHeight="1">
      <c r="B16" s="749" t="s">
        <v>1309</v>
      </c>
      <c r="C16" s="1103">
        <v>3599</v>
      </c>
      <c r="D16" s="750" t="s">
        <v>1310</v>
      </c>
      <c r="E16" s="750">
        <v>91</v>
      </c>
      <c r="F16" s="749" t="s">
        <v>1518</v>
      </c>
      <c r="G16" s="843"/>
      <c r="H16" s="930">
        <v>61</v>
      </c>
      <c r="I16" s="72"/>
      <c r="J16" s="72"/>
      <c r="K16" s="837"/>
    </row>
    <row r="17" spans="2:11" ht="15.75" customHeight="1">
      <c r="B17" s="454" t="s">
        <v>239</v>
      </c>
      <c r="C17" s="1103">
        <v>9930</v>
      </c>
      <c r="D17" s="444" t="s">
        <v>240</v>
      </c>
      <c r="E17" s="444">
        <v>100</v>
      </c>
      <c r="F17" s="454" t="s">
        <v>1519</v>
      </c>
      <c r="G17" s="838"/>
      <c r="H17" s="798">
        <v>70</v>
      </c>
      <c r="I17" s="72"/>
      <c r="J17" s="72"/>
      <c r="K17" s="837"/>
    </row>
    <row r="18" spans="2:11" ht="15.75" customHeight="1">
      <c r="B18" s="454" t="s">
        <v>241</v>
      </c>
      <c r="C18" s="1103">
        <v>10115</v>
      </c>
      <c r="D18" s="444" t="s">
        <v>242</v>
      </c>
      <c r="E18" s="444">
        <v>110</v>
      </c>
      <c r="F18" s="454" t="s">
        <v>1520</v>
      </c>
      <c r="G18" s="838"/>
      <c r="H18" s="798">
        <v>80</v>
      </c>
      <c r="I18" s="72"/>
      <c r="J18" s="72"/>
      <c r="K18" s="837"/>
    </row>
    <row r="19" spans="2:11" ht="15.75" customHeight="1">
      <c r="B19" s="454" t="s">
        <v>243</v>
      </c>
      <c r="C19" s="1103">
        <v>11163</v>
      </c>
      <c r="D19" s="444" t="s">
        <v>244</v>
      </c>
      <c r="E19" s="444">
        <v>120</v>
      </c>
      <c r="F19" s="454" t="s">
        <v>1521</v>
      </c>
      <c r="G19" s="838"/>
      <c r="H19" s="798">
        <v>90</v>
      </c>
      <c r="I19" s="72"/>
      <c r="J19" s="72"/>
      <c r="K19" s="837"/>
    </row>
    <row r="20" spans="2:11" ht="15.75" customHeight="1">
      <c r="B20" s="749" t="s">
        <v>245</v>
      </c>
      <c r="C20" s="1103">
        <v>3629</v>
      </c>
      <c r="D20" s="444" t="s">
        <v>246</v>
      </c>
      <c r="E20" s="444" t="s">
        <v>631</v>
      </c>
      <c r="F20" s="454" t="s">
        <v>1522</v>
      </c>
      <c r="G20" s="838"/>
      <c r="H20" s="838"/>
      <c r="I20" s="72"/>
      <c r="J20" s="72"/>
      <c r="K20" s="837"/>
    </row>
    <row r="21" spans="2:11" ht="15.75" customHeight="1">
      <c r="B21" s="454" t="s">
        <v>247</v>
      </c>
      <c r="C21" s="1103">
        <v>3632</v>
      </c>
      <c r="D21" s="444" t="s">
        <v>248</v>
      </c>
      <c r="E21" s="444">
        <v>130</v>
      </c>
      <c r="F21" s="454" t="s">
        <v>1523</v>
      </c>
      <c r="G21" s="838"/>
      <c r="H21" s="798">
        <v>100</v>
      </c>
      <c r="I21" s="72"/>
      <c r="J21" s="72"/>
    </row>
    <row r="22" spans="2:11" ht="15.75" customHeight="1">
      <c r="B22" s="454" t="s">
        <v>249</v>
      </c>
      <c r="C22" s="1103">
        <v>10298</v>
      </c>
      <c r="D22" s="444" t="s">
        <v>250</v>
      </c>
      <c r="E22" s="444">
        <v>140</v>
      </c>
      <c r="F22" s="454" t="s">
        <v>1524</v>
      </c>
      <c r="G22" s="838"/>
      <c r="H22" s="798">
        <v>110</v>
      </c>
      <c r="I22" s="72"/>
      <c r="J22" s="72"/>
      <c r="K22" s="837"/>
    </row>
    <row r="23" spans="2:11" ht="15.75" customHeight="1">
      <c r="B23" s="454" t="s">
        <v>1180</v>
      </c>
      <c r="C23" s="1103">
        <v>3630</v>
      </c>
      <c r="D23" s="444" t="s">
        <v>251</v>
      </c>
      <c r="E23" s="444">
        <v>150</v>
      </c>
      <c r="F23" s="454" t="s">
        <v>1525</v>
      </c>
      <c r="G23" s="838"/>
      <c r="H23" s="798">
        <v>120</v>
      </c>
      <c r="I23" s="72"/>
      <c r="J23" s="72"/>
      <c r="K23" s="837"/>
    </row>
    <row r="24" spans="2:11" ht="15.75" customHeight="1">
      <c r="B24" s="454" t="s">
        <v>252</v>
      </c>
      <c r="C24" s="1103">
        <v>3631</v>
      </c>
      <c r="D24" s="444" t="s">
        <v>253</v>
      </c>
      <c r="E24" s="444">
        <v>160</v>
      </c>
      <c r="F24" s="454" t="s">
        <v>1526</v>
      </c>
      <c r="G24" s="838"/>
      <c r="H24" s="798">
        <v>130</v>
      </c>
      <c r="I24" s="72"/>
      <c r="J24" s="72"/>
      <c r="K24" s="837"/>
    </row>
    <row r="25" spans="2:11" ht="15.75" customHeight="1">
      <c r="B25" s="454" t="s">
        <v>254</v>
      </c>
      <c r="C25" s="1103">
        <v>11161</v>
      </c>
      <c r="D25" s="444" t="s">
        <v>255</v>
      </c>
      <c r="E25" s="444">
        <v>170</v>
      </c>
      <c r="F25" s="454" t="s">
        <v>1527</v>
      </c>
      <c r="G25" s="984">
        <v>11136344</v>
      </c>
      <c r="H25" s="798">
        <v>150</v>
      </c>
      <c r="I25" s="72"/>
      <c r="J25" s="72"/>
      <c r="K25" s="984">
        <v>11136344</v>
      </c>
    </row>
    <row r="26" spans="2:11" ht="15.75" customHeight="1">
      <c r="B26" s="454" t="s">
        <v>256</v>
      </c>
      <c r="C26" s="1103">
        <v>3639</v>
      </c>
      <c r="D26" s="444" t="s">
        <v>257</v>
      </c>
      <c r="E26" s="444">
        <v>180</v>
      </c>
      <c r="F26" s="454" t="s">
        <v>1528</v>
      </c>
      <c r="G26" s="984">
        <v>8966056</v>
      </c>
      <c r="H26" s="798">
        <v>160</v>
      </c>
      <c r="I26" s="72"/>
      <c r="J26" s="72"/>
      <c r="K26" s="984">
        <v>8966056</v>
      </c>
    </row>
    <row r="27" spans="2:11" ht="15.75" customHeight="1">
      <c r="B27" s="454" t="s">
        <v>258</v>
      </c>
      <c r="C27" s="1103">
        <v>9651</v>
      </c>
      <c r="D27" s="444" t="s">
        <v>259</v>
      </c>
      <c r="E27" s="444">
        <v>190</v>
      </c>
      <c r="F27" s="454" t="s">
        <v>1529</v>
      </c>
      <c r="G27" s="984">
        <v>6709910</v>
      </c>
      <c r="H27" s="798">
        <v>180</v>
      </c>
      <c r="I27" s="72"/>
      <c r="J27" s="72"/>
      <c r="K27" s="984">
        <v>6709910</v>
      </c>
    </row>
    <row r="28" spans="2:11" ht="15.75" customHeight="1">
      <c r="B28" s="454" t="s">
        <v>260</v>
      </c>
      <c r="C28" s="1103">
        <v>3665</v>
      </c>
      <c r="D28" s="444" t="s">
        <v>261</v>
      </c>
      <c r="E28" s="444">
        <v>200</v>
      </c>
      <c r="F28" s="454" t="s">
        <v>1530</v>
      </c>
      <c r="G28" s="984">
        <v>7164408</v>
      </c>
      <c r="H28" s="798">
        <v>190</v>
      </c>
      <c r="I28" s="72"/>
      <c r="J28" s="72"/>
      <c r="K28" s="984">
        <v>7164408</v>
      </c>
    </row>
    <row r="29" spans="2:11" ht="15.75" customHeight="1">
      <c r="B29" s="454" t="s">
        <v>262</v>
      </c>
      <c r="C29" s="1103">
        <v>3565</v>
      </c>
      <c r="D29" s="444" t="s">
        <v>263</v>
      </c>
      <c r="E29" s="444">
        <v>210</v>
      </c>
      <c r="F29" s="454" t="s">
        <v>1531</v>
      </c>
      <c r="G29" s="984">
        <v>10786313</v>
      </c>
      <c r="H29" s="798">
        <v>200</v>
      </c>
      <c r="I29" s="72"/>
      <c r="J29" s="72"/>
      <c r="K29" s="984">
        <v>10786313</v>
      </c>
    </row>
    <row r="30" spans="2:11" ht="15.75" customHeight="1">
      <c r="B30" s="454" t="s">
        <v>1181</v>
      </c>
      <c r="C30" s="1103">
        <v>29269</v>
      </c>
      <c r="D30" s="444" t="s">
        <v>264</v>
      </c>
      <c r="E30" s="444">
        <v>220</v>
      </c>
      <c r="F30" s="454" t="s">
        <v>1532</v>
      </c>
      <c r="G30" s="984">
        <v>1823883</v>
      </c>
      <c r="H30" s="798">
        <v>210</v>
      </c>
      <c r="I30" s="72"/>
      <c r="J30" s="72"/>
      <c r="K30" s="984">
        <v>1823883</v>
      </c>
    </row>
    <row r="31" spans="2:11" ht="15.75" customHeight="1">
      <c r="B31" s="839" t="s">
        <v>265</v>
      </c>
      <c r="C31" s="1103">
        <v>42295</v>
      </c>
      <c r="D31" s="444" t="s">
        <v>266</v>
      </c>
      <c r="E31" s="444">
        <v>223</v>
      </c>
      <c r="F31" s="454" t="s">
        <v>1533</v>
      </c>
      <c r="G31" s="837"/>
      <c r="H31" s="798">
        <v>140</v>
      </c>
      <c r="I31" s="72"/>
      <c r="J31" s="72"/>
      <c r="K31" s="837"/>
    </row>
    <row r="32" spans="2:11" ht="15.75" customHeight="1">
      <c r="B32" s="839" t="s">
        <v>267</v>
      </c>
      <c r="C32" s="1104">
        <v>42485</v>
      </c>
      <c r="D32" s="444" t="s">
        <v>268</v>
      </c>
      <c r="E32" s="444">
        <v>226</v>
      </c>
      <c r="F32" s="454" t="s">
        <v>1534</v>
      </c>
      <c r="G32" s="837"/>
      <c r="H32" s="798">
        <v>170</v>
      </c>
      <c r="I32" s="72"/>
      <c r="J32" s="72"/>
      <c r="K32" s="837"/>
    </row>
    <row r="33" spans="2:11" ht="15.75" customHeight="1">
      <c r="B33" s="839" t="s">
        <v>1205</v>
      </c>
      <c r="C33" s="1103">
        <v>556</v>
      </c>
      <c r="D33" s="444" t="s">
        <v>269</v>
      </c>
      <c r="E33" s="444">
        <v>600</v>
      </c>
      <c r="F33" s="454" t="s">
        <v>1535</v>
      </c>
      <c r="G33" s="837"/>
      <c r="H33" s="841"/>
      <c r="I33" s="72"/>
      <c r="J33" s="72"/>
      <c r="K33" s="837"/>
    </row>
    <row r="34" spans="2:11" ht="15.75" customHeight="1">
      <c r="B34" s="839" t="s">
        <v>1206</v>
      </c>
      <c r="C34" s="1103">
        <v>555</v>
      </c>
      <c r="D34" s="444" t="s">
        <v>270</v>
      </c>
      <c r="E34" s="444">
        <v>605</v>
      </c>
      <c r="F34" s="454" t="s">
        <v>1536</v>
      </c>
      <c r="G34" s="837"/>
      <c r="H34" s="841"/>
      <c r="I34" s="72"/>
      <c r="J34" s="72"/>
      <c r="K34" s="837"/>
    </row>
    <row r="35" spans="2:11" ht="15.75" customHeight="1">
      <c r="B35" s="839" t="s">
        <v>1207</v>
      </c>
      <c r="C35" s="1103">
        <v>712</v>
      </c>
      <c r="D35" s="444" t="s">
        <v>271</v>
      </c>
      <c r="E35" s="444">
        <v>610</v>
      </c>
      <c r="F35" s="454" t="s">
        <v>1537</v>
      </c>
      <c r="G35" s="837"/>
      <c r="H35" s="841"/>
      <c r="I35" s="72"/>
      <c r="J35" s="72"/>
      <c r="K35" s="837"/>
    </row>
    <row r="36" spans="2:11" ht="15.75" customHeight="1">
      <c r="B36" s="839" t="s">
        <v>1208</v>
      </c>
      <c r="C36" s="1103">
        <v>716</v>
      </c>
      <c r="D36" s="444" t="s">
        <v>272</v>
      </c>
      <c r="E36" s="444">
        <v>615</v>
      </c>
      <c r="F36" s="454" t="s">
        <v>1538</v>
      </c>
      <c r="G36" s="837"/>
      <c r="H36" s="841"/>
      <c r="I36" s="72"/>
      <c r="J36" s="72"/>
      <c r="K36" s="837"/>
    </row>
    <row r="37" spans="2:11" ht="15.75" customHeight="1">
      <c r="B37" s="839" t="s">
        <v>1209</v>
      </c>
      <c r="C37" s="1103">
        <v>576</v>
      </c>
      <c r="D37" s="444" t="s">
        <v>273</v>
      </c>
      <c r="E37" s="444">
        <v>620</v>
      </c>
      <c r="F37" s="454" t="s">
        <v>1539</v>
      </c>
      <c r="G37" s="837"/>
      <c r="H37" s="841"/>
      <c r="I37" s="72"/>
      <c r="J37" s="72"/>
      <c r="K37" s="837"/>
    </row>
    <row r="38" spans="2:11" ht="15.75" customHeight="1">
      <c r="B38" s="839" t="s">
        <v>1210</v>
      </c>
      <c r="C38" s="1103">
        <v>727</v>
      </c>
      <c r="D38" s="444" t="s">
        <v>274</v>
      </c>
      <c r="E38" s="444">
        <v>625</v>
      </c>
      <c r="F38" s="454" t="s">
        <v>1540</v>
      </c>
      <c r="G38" s="837"/>
      <c r="H38" s="841"/>
      <c r="I38" s="72"/>
      <c r="J38" s="72"/>
      <c r="K38" s="837"/>
    </row>
    <row r="39" spans="2:11" ht="15.75" customHeight="1">
      <c r="B39" s="839" t="s">
        <v>1211</v>
      </c>
      <c r="C39" s="1103">
        <v>557</v>
      </c>
      <c r="D39" s="444" t="s">
        <v>275</v>
      </c>
      <c r="E39" s="444">
        <v>630</v>
      </c>
      <c r="F39" s="454" t="s">
        <v>1541</v>
      </c>
      <c r="G39" s="837"/>
      <c r="H39" s="841"/>
      <c r="I39" s="72"/>
      <c r="J39" s="72"/>
      <c r="K39" s="837"/>
    </row>
    <row r="40" spans="2:11" ht="15.75" customHeight="1">
      <c r="B40" s="842" t="s">
        <v>278</v>
      </c>
      <c r="C40" s="1103">
        <v>11721</v>
      </c>
      <c r="D40" s="444" t="s">
        <v>1212</v>
      </c>
      <c r="E40" s="444" t="s">
        <v>632</v>
      </c>
      <c r="F40" s="454" t="s">
        <v>1542</v>
      </c>
      <c r="G40" s="837"/>
      <c r="H40" s="838"/>
      <c r="I40" s="72"/>
      <c r="J40" s="72"/>
      <c r="K40" s="837"/>
    </row>
    <row r="41" spans="2:11" ht="15.75" customHeight="1">
      <c r="B41" s="839" t="s">
        <v>279</v>
      </c>
      <c r="C41" s="1103">
        <v>3652</v>
      </c>
      <c r="D41" s="444" t="s">
        <v>280</v>
      </c>
      <c r="E41" s="444">
        <v>230</v>
      </c>
      <c r="F41" s="454" t="s">
        <v>1543</v>
      </c>
      <c r="G41" s="984">
        <v>52770054</v>
      </c>
      <c r="H41" s="798">
        <v>220</v>
      </c>
      <c r="I41" s="72"/>
      <c r="J41" s="72"/>
      <c r="K41" s="984">
        <v>52770054</v>
      </c>
    </row>
    <row r="42" spans="2:11" ht="15.75" customHeight="1">
      <c r="B42" s="839" t="s">
        <v>281</v>
      </c>
      <c r="C42" s="1103">
        <v>11711</v>
      </c>
      <c r="D42" s="444" t="s">
        <v>282</v>
      </c>
      <c r="E42" s="444">
        <v>240</v>
      </c>
      <c r="F42" s="454" t="s">
        <v>1544</v>
      </c>
      <c r="G42" s="984">
        <v>8005116</v>
      </c>
      <c r="H42" s="798">
        <v>230</v>
      </c>
      <c r="I42" s="72"/>
      <c r="J42" s="72"/>
      <c r="K42" s="984">
        <v>8005116</v>
      </c>
    </row>
    <row r="43" spans="2:11" ht="15.75" customHeight="1">
      <c r="B43" s="839" t="s">
        <v>1182</v>
      </c>
      <c r="C43" s="1103">
        <v>12826</v>
      </c>
      <c r="D43" s="444" t="s">
        <v>283</v>
      </c>
      <c r="E43" s="444">
        <v>250</v>
      </c>
      <c r="F43" s="454" t="s">
        <v>1545</v>
      </c>
      <c r="G43" s="984">
        <v>11752877</v>
      </c>
      <c r="H43" s="798">
        <v>240</v>
      </c>
      <c r="I43" s="72"/>
      <c r="J43" s="72"/>
      <c r="K43" s="984">
        <v>11752877</v>
      </c>
    </row>
    <row r="44" spans="2:11" ht="15.75" customHeight="1">
      <c r="B44" s="839" t="s">
        <v>1183</v>
      </c>
      <c r="C44" s="1103">
        <v>13231</v>
      </c>
      <c r="D44" s="444" t="s">
        <v>284</v>
      </c>
      <c r="E44" s="444">
        <v>260</v>
      </c>
      <c r="F44" s="454" t="s">
        <v>1546</v>
      </c>
      <c r="G44" s="984">
        <v>4275861</v>
      </c>
      <c r="H44" s="798">
        <v>250</v>
      </c>
      <c r="I44" s="72"/>
      <c r="J44" s="72"/>
      <c r="K44" s="984">
        <v>4275861</v>
      </c>
    </row>
    <row r="45" spans="2:11" ht="15.75" customHeight="1">
      <c r="B45" s="842" t="s">
        <v>285</v>
      </c>
      <c r="C45" s="1103">
        <v>110</v>
      </c>
      <c r="D45" s="444" t="s">
        <v>286</v>
      </c>
      <c r="E45" s="444" t="s">
        <v>633</v>
      </c>
      <c r="F45" s="454" t="s">
        <v>1547</v>
      </c>
      <c r="G45" s="837"/>
      <c r="H45" s="838"/>
      <c r="I45" s="72"/>
      <c r="J45" s="72"/>
      <c r="K45" s="837"/>
    </row>
    <row r="46" spans="2:11" ht="15.75" customHeight="1">
      <c r="B46" s="839" t="s">
        <v>287</v>
      </c>
      <c r="C46" s="1103">
        <v>3581</v>
      </c>
      <c r="D46" s="444" t="s">
        <v>288</v>
      </c>
      <c r="E46" s="444">
        <v>270</v>
      </c>
      <c r="F46" s="454" t="s">
        <v>1548</v>
      </c>
      <c r="G46" s="984">
        <v>14101882</v>
      </c>
      <c r="H46" s="798">
        <v>340</v>
      </c>
      <c r="I46" s="72"/>
      <c r="J46" s="72"/>
      <c r="K46" s="984">
        <v>14101882</v>
      </c>
    </row>
    <row r="47" spans="2:11" ht="15.75" customHeight="1">
      <c r="B47" s="839" t="s">
        <v>289</v>
      </c>
      <c r="C47" s="1103">
        <v>3606</v>
      </c>
      <c r="D47" s="444" t="s">
        <v>290</v>
      </c>
      <c r="E47" s="444">
        <v>280</v>
      </c>
      <c r="F47" s="454" t="s">
        <v>1549</v>
      </c>
      <c r="G47" s="984">
        <v>17329858</v>
      </c>
      <c r="H47" s="798">
        <v>350</v>
      </c>
      <c r="I47" s="72"/>
      <c r="J47" s="72"/>
      <c r="K47" s="984">
        <v>17329858</v>
      </c>
    </row>
    <row r="48" spans="2:11" ht="15.75" customHeight="1">
      <c r="B48" s="839" t="s">
        <v>1232</v>
      </c>
      <c r="C48" s="1103">
        <v>3615</v>
      </c>
      <c r="D48" s="444" t="s">
        <v>291</v>
      </c>
      <c r="E48" s="444">
        <v>290</v>
      </c>
      <c r="F48" s="454" t="s">
        <v>1550</v>
      </c>
      <c r="G48" s="984">
        <v>37162755</v>
      </c>
      <c r="H48" s="798">
        <v>360</v>
      </c>
      <c r="I48" s="72"/>
      <c r="J48" s="72"/>
      <c r="K48" s="984">
        <v>37162755</v>
      </c>
    </row>
    <row r="49" spans="2:11" ht="15.75" customHeight="1">
      <c r="B49" s="839" t="s">
        <v>292</v>
      </c>
      <c r="C49" s="1103">
        <v>3625</v>
      </c>
      <c r="D49" s="444" t="s">
        <v>293</v>
      </c>
      <c r="E49" s="444">
        <v>300</v>
      </c>
      <c r="F49" s="454" t="s">
        <v>1551</v>
      </c>
      <c r="G49" s="984">
        <v>2546261</v>
      </c>
      <c r="H49" s="798">
        <v>370</v>
      </c>
      <c r="I49" s="72"/>
      <c r="J49" s="843"/>
      <c r="K49" s="984">
        <v>2546261</v>
      </c>
    </row>
    <row r="50" spans="2:11" ht="15.75" customHeight="1">
      <c r="B50" s="842" t="s">
        <v>294</v>
      </c>
      <c r="C50" s="1103">
        <v>439154</v>
      </c>
      <c r="D50" s="444" t="s">
        <v>295</v>
      </c>
      <c r="E50" s="444" t="s">
        <v>634</v>
      </c>
      <c r="F50" s="454" t="s">
        <v>1552</v>
      </c>
      <c r="G50" s="837"/>
      <c r="H50" s="838"/>
      <c r="I50" s="72"/>
      <c r="J50" s="843"/>
      <c r="K50" s="837"/>
    </row>
    <row r="51" spans="2:11" ht="15.75" customHeight="1">
      <c r="B51" s="839" t="s">
        <v>296</v>
      </c>
      <c r="C51" s="1103">
        <v>3644</v>
      </c>
      <c r="D51" s="444" t="s">
        <v>297</v>
      </c>
      <c r="E51" s="444">
        <v>310</v>
      </c>
      <c r="F51" s="454" t="s">
        <v>1553</v>
      </c>
      <c r="G51" s="984">
        <v>49225809</v>
      </c>
      <c r="H51" s="798">
        <v>310</v>
      </c>
      <c r="I51" s="72"/>
      <c r="J51" s="843"/>
      <c r="K51" s="984">
        <v>49225809</v>
      </c>
    </row>
    <row r="52" spans="2:11" ht="15.75" customHeight="1">
      <c r="B52" s="839" t="s">
        <v>298</v>
      </c>
      <c r="C52" s="1103">
        <v>3541</v>
      </c>
      <c r="D52" s="444" t="s">
        <v>299</v>
      </c>
      <c r="E52" s="444">
        <v>320</v>
      </c>
      <c r="F52" s="454" t="s">
        <v>1554</v>
      </c>
      <c r="G52" s="984">
        <v>5320102</v>
      </c>
      <c r="H52" s="798">
        <v>320</v>
      </c>
      <c r="I52" s="72"/>
      <c r="J52" s="72"/>
      <c r="K52" s="984">
        <v>5320102</v>
      </c>
    </row>
    <row r="53" spans="2:11" ht="15.75" customHeight="1">
      <c r="B53" s="842" t="s">
        <v>300</v>
      </c>
      <c r="C53" s="1103">
        <v>103594</v>
      </c>
      <c r="D53" s="444" t="s">
        <v>301</v>
      </c>
      <c r="E53" s="444" t="s">
        <v>635</v>
      </c>
      <c r="F53" s="454" t="s">
        <v>1555</v>
      </c>
      <c r="G53" s="837"/>
      <c r="H53" s="838"/>
      <c r="I53" s="72"/>
      <c r="J53" s="72"/>
      <c r="K53" s="837"/>
    </row>
    <row r="54" spans="2:11" ht="15.75" customHeight="1">
      <c r="B54" s="839" t="s">
        <v>302</v>
      </c>
      <c r="C54" s="1103">
        <v>3594</v>
      </c>
      <c r="D54" s="444" t="s">
        <v>303</v>
      </c>
      <c r="E54" s="444">
        <v>330</v>
      </c>
      <c r="F54" s="454" t="s">
        <v>1556</v>
      </c>
      <c r="G54" s="984">
        <v>37562056</v>
      </c>
      <c r="H54" s="798">
        <v>270</v>
      </c>
      <c r="I54" s="72"/>
      <c r="J54" s="72"/>
      <c r="K54" s="984">
        <v>37562056</v>
      </c>
    </row>
    <row r="55" spans="2:11" ht="15.75" customHeight="1">
      <c r="B55" s="839" t="s">
        <v>304</v>
      </c>
      <c r="C55" s="1103">
        <v>42421</v>
      </c>
      <c r="D55" s="444" t="s">
        <v>305</v>
      </c>
      <c r="E55" s="444">
        <v>333</v>
      </c>
      <c r="F55" s="454" t="s">
        <v>1557</v>
      </c>
      <c r="G55" s="984">
        <v>2113004</v>
      </c>
      <c r="H55" s="798">
        <v>280</v>
      </c>
      <c r="I55" s="72"/>
      <c r="J55" s="72"/>
      <c r="K55" s="984">
        <v>2113004</v>
      </c>
    </row>
    <row r="56" spans="2:11" ht="15.75" customHeight="1">
      <c r="B56" s="454" t="s">
        <v>306</v>
      </c>
      <c r="C56" s="1103">
        <v>3592</v>
      </c>
      <c r="D56" s="444" t="s">
        <v>307</v>
      </c>
      <c r="E56" s="444">
        <v>340</v>
      </c>
      <c r="F56" s="454" t="s">
        <v>1558</v>
      </c>
      <c r="G56" s="984">
        <v>5061412</v>
      </c>
      <c r="H56" s="798">
        <v>260</v>
      </c>
      <c r="I56" s="72"/>
      <c r="J56" s="72"/>
      <c r="K56" s="984">
        <v>5061412</v>
      </c>
    </row>
    <row r="57" spans="2:11" ht="15.75" customHeight="1">
      <c r="B57" s="454" t="s">
        <v>308</v>
      </c>
      <c r="C57" s="1103">
        <v>3624</v>
      </c>
      <c r="D57" s="444" t="s">
        <v>309</v>
      </c>
      <c r="E57" s="444">
        <v>350</v>
      </c>
      <c r="F57" s="454" t="s">
        <v>1559</v>
      </c>
      <c r="G57" s="984">
        <v>11636163</v>
      </c>
      <c r="H57" s="798">
        <v>290</v>
      </c>
      <c r="I57" s="72"/>
      <c r="J57" s="72"/>
      <c r="K57" s="984">
        <v>11636163</v>
      </c>
    </row>
    <row r="58" spans="2:11" ht="15.75" customHeight="1">
      <c r="B58" s="454" t="s">
        <v>310</v>
      </c>
      <c r="C58" s="1103">
        <v>3642</v>
      </c>
      <c r="D58" s="444" t="s">
        <v>311</v>
      </c>
      <c r="E58" s="444">
        <v>360</v>
      </c>
      <c r="F58" s="454" t="s">
        <v>1560</v>
      </c>
      <c r="G58" s="984">
        <v>11659843</v>
      </c>
      <c r="H58" s="798">
        <v>300</v>
      </c>
      <c r="I58" s="72"/>
      <c r="J58" s="72"/>
      <c r="K58" s="984">
        <v>11659843</v>
      </c>
    </row>
    <row r="59" spans="2:11" ht="15.75" customHeight="1">
      <c r="B59" s="454" t="s">
        <v>312</v>
      </c>
      <c r="C59" s="1103">
        <v>3646</v>
      </c>
      <c r="D59" s="444" t="s">
        <v>313</v>
      </c>
      <c r="E59" s="444">
        <v>370</v>
      </c>
      <c r="F59" s="454" t="s">
        <v>1561</v>
      </c>
      <c r="G59" s="984">
        <v>14846558</v>
      </c>
      <c r="H59" s="798">
        <v>330</v>
      </c>
      <c r="I59" s="72"/>
      <c r="J59" s="72"/>
      <c r="K59" s="984">
        <v>14846558</v>
      </c>
    </row>
    <row r="60" spans="2:11" ht="15.75" customHeight="1">
      <c r="B60" s="454" t="s">
        <v>314</v>
      </c>
      <c r="C60" s="1105">
        <v>36273</v>
      </c>
      <c r="D60" s="444" t="s">
        <v>315</v>
      </c>
      <c r="E60" s="444">
        <v>490</v>
      </c>
      <c r="F60" s="454" t="s">
        <v>1562</v>
      </c>
      <c r="G60" s="984">
        <v>2580521</v>
      </c>
      <c r="H60" s="798">
        <v>430</v>
      </c>
      <c r="I60" s="72"/>
      <c r="J60" s="72"/>
      <c r="K60" s="984">
        <v>2580521</v>
      </c>
    </row>
    <row r="61" spans="2:11" ht="15.75" customHeight="1">
      <c r="B61" s="454" t="s">
        <v>316</v>
      </c>
      <c r="C61" s="1105">
        <v>23582</v>
      </c>
      <c r="D61" s="444" t="s">
        <v>317</v>
      </c>
      <c r="E61" s="444">
        <v>500</v>
      </c>
      <c r="F61" s="454" t="s">
        <v>1563</v>
      </c>
      <c r="G61" s="984">
        <v>1694343</v>
      </c>
      <c r="H61" s="798">
        <v>440</v>
      </c>
      <c r="I61" s="72"/>
      <c r="J61" s="72"/>
      <c r="K61" s="984">
        <v>1694343</v>
      </c>
    </row>
    <row r="62" spans="2:11" ht="15.75" customHeight="1">
      <c r="B62" s="454" t="s">
        <v>318</v>
      </c>
      <c r="C62" s="1105">
        <v>23485</v>
      </c>
      <c r="D62" s="444" t="s">
        <v>319</v>
      </c>
      <c r="E62" s="444">
        <v>510</v>
      </c>
      <c r="F62" s="454" t="s">
        <v>1564</v>
      </c>
      <c r="G62" s="984">
        <v>2157784</v>
      </c>
      <c r="H62" s="798">
        <v>450</v>
      </c>
      <c r="I62" s="72"/>
      <c r="J62" s="72"/>
      <c r="K62" s="984">
        <v>2157784</v>
      </c>
    </row>
    <row r="63" spans="2:11" ht="15.75" customHeight="1">
      <c r="B63" s="454" t="s">
        <v>320</v>
      </c>
      <c r="C63" s="1105">
        <v>9225</v>
      </c>
      <c r="D63" s="444" t="s">
        <v>321</v>
      </c>
      <c r="E63" s="444">
        <v>520</v>
      </c>
      <c r="F63" s="454" t="s">
        <v>1565</v>
      </c>
      <c r="G63" s="1051">
        <v>2604593</v>
      </c>
      <c r="H63" s="798">
        <v>390</v>
      </c>
      <c r="I63" s="72"/>
      <c r="J63" s="72"/>
      <c r="K63" s="1341">
        <v>8662500</v>
      </c>
    </row>
    <row r="64" spans="2:11" ht="15.75" customHeight="1">
      <c r="B64" s="454" t="s">
        <v>1184</v>
      </c>
      <c r="C64" s="1105">
        <v>9932</v>
      </c>
      <c r="D64" s="444" t="s">
        <v>1261</v>
      </c>
      <c r="E64" s="444">
        <v>530</v>
      </c>
      <c r="F64" s="454" t="s">
        <v>1566</v>
      </c>
      <c r="G64" s="1052">
        <v>992536</v>
      </c>
      <c r="H64" s="798">
        <v>400</v>
      </c>
      <c r="I64" s="72"/>
      <c r="J64" s="72"/>
      <c r="K64" s="1342"/>
    </row>
    <row r="65" spans="2:11" ht="15.75" customHeight="1">
      <c r="B65" s="454" t="s">
        <v>322</v>
      </c>
      <c r="C65" s="1105">
        <v>33965</v>
      </c>
      <c r="D65" s="444" t="s">
        <v>323</v>
      </c>
      <c r="E65" s="444">
        <v>540</v>
      </c>
      <c r="F65" s="454" t="s">
        <v>1567</v>
      </c>
      <c r="G65" s="1052">
        <v>725027</v>
      </c>
      <c r="H65" s="798">
        <v>410</v>
      </c>
      <c r="I65" s="72"/>
      <c r="J65" s="72"/>
      <c r="K65" s="1342"/>
    </row>
    <row r="66" spans="2:11" ht="15.75" customHeight="1">
      <c r="B66" s="454" t="s">
        <v>324</v>
      </c>
      <c r="C66" s="1105">
        <v>3634</v>
      </c>
      <c r="D66" s="444" t="s">
        <v>325</v>
      </c>
      <c r="E66" s="444">
        <v>550</v>
      </c>
      <c r="F66" s="454" t="s">
        <v>1568</v>
      </c>
      <c r="G66" s="1052">
        <v>3088797</v>
      </c>
      <c r="H66" s="798">
        <v>420</v>
      </c>
      <c r="I66" s="72"/>
      <c r="J66" s="840">
        <f>SUM(G63:G68)</f>
        <v>8662500</v>
      </c>
      <c r="K66" s="1342"/>
    </row>
    <row r="67" spans="2:11" ht="15.75" customHeight="1">
      <c r="B67" s="1050" t="s">
        <v>1355</v>
      </c>
      <c r="C67" s="1106">
        <v>133965</v>
      </c>
      <c r="D67" s="444" t="s">
        <v>1405</v>
      </c>
      <c r="E67" s="444">
        <v>552</v>
      </c>
      <c r="F67" s="454" t="s">
        <v>1569</v>
      </c>
      <c r="G67" s="1052">
        <v>283709</v>
      </c>
      <c r="H67" s="798">
        <v>430</v>
      </c>
      <c r="I67" s="72"/>
      <c r="J67" s="840">
        <f>J66-K63</f>
        <v>0</v>
      </c>
      <c r="K67" s="1342"/>
    </row>
    <row r="68" spans="2:11" ht="15.75" customHeight="1">
      <c r="B68" s="1050" t="s">
        <v>1356</v>
      </c>
      <c r="C68" s="1106">
        <v>203634</v>
      </c>
      <c r="D68" s="444" t="s">
        <v>1406</v>
      </c>
      <c r="E68" s="444">
        <v>553</v>
      </c>
      <c r="F68" s="454" t="s">
        <v>1570</v>
      </c>
      <c r="G68" s="1052">
        <v>967838</v>
      </c>
      <c r="H68" s="798">
        <v>440</v>
      </c>
      <c r="I68" s="72"/>
      <c r="J68" s="72"/>
      <c r="K68" s="1342"/>
    </row>
    <row r="69" spans="2:11" ht="15">
      <c r="B69" s="454" t="s">
        <v>636</v>
      </c>
      <c r="C69" s="1105">
        <v>9642</v>
      </c>
      <c r="D69" s="444" t="s">
        <v>637</v>
      </c>
      <c r="E69" s="444">
        <v>555</v>
      </c>
      <c r="F69" s="454" t="s">
        <v>1571</v>
      </c>
      <c r="G69" s="1053"/>
      <c r="H69" s="448"/>
      <c r="K69" s="1343"/>
    </row>
    <row r="70" spans="2:11" ht="15">
      <c r="B70" s="454"/>
      <c r="C70" s="1103"/>
      <c r="D70" s="444"/>
      <c r="E70" s="444"/>
      <c r="F70" s="454"/>
      <c r="G70" s="449"/>
      <c r="H70" s="449"/>
      <c r="K70" s="837"/>
    </row>
    <row r="71" spans="2:11" ht="15.75" customHeight="1">
      <c r="B71" s="454"/>
      <c r="C71" s="1103"/>
      <c r="D71" s="444"/>
      <c r="E71" s="444"/>
      <c r="F71" s="454"/>
      <c r="G71" s="844"/>
      <c r="H71" s="799"/>
      <c r="K71" s="844"/>
    </row>
    <row r="72" spans="2:11" ht="15.75" customHeight="1">
      <c r="B72" s="454"/>
      <c r="C72" s="1103"/>
      <c r="D72" s="444"/>
      <c r="E72" s="444"/>
      <c r="F72" s="454"/>
      <c r="G72" s="449">
        <f>SUM(G25:G71)</f>
        <v>347051673</v>
      </c>
      <c r="H72" s="449"/>
      <c r="K72" s="449">
        <f>SUM(K25:K71)</f>
        <v>347051673</v>
      </c>
    </row>
    <row r="73" spans="2:11" ht="15.75" customHeight="1">
      <c r="B73" s="742" t="s">
        <v>326</v>
      </c>
      <c r="C73" s="1103"/>
      <c r="D73" s="835"/>
      <c r="E73" s="835">
        <v>380</v>
      </c>
      <c r="F73" s="836" t="s">
        <v>327</v>
      </c>
      <c r="G73" s="450"/>
      <c r="H73" s="450"/>
      <c r="K73" s="450"/>
    </row>
    <row r="74" spans="2:11" ht="15.75" customHeight="1">
      <c r="B74" s="454"/>
      <c r="C74" s="1103"/>
      <c r="D74" s="444"/>
      <c r="E74" s="444"/>
      <c r="F74" s="454"/>
      <c r="G74" s="448"/>
      <c r="H74" s="448"/>
      <c r="K74" s="837"/>
    </row>
    <row r="75" spans="2:11" ht="18.75" customHeight="1">
      <c r="B75" s="454" t="s">
        <v>1203</v>
      </c>
      <c r="C75" s="1105">
        <v>30</v>
      </c>
      <c r="D75" s="444" t="s">
        <v>328</v>
      </c>
      <c r="E75" s="444">
        <v>390</v>
      </c>
      <c r="F75" s="454" t="s">
        <v>1572</v>
      </c>
      <c r="G75" s="448"/>
      <c r="H75" s="448"/>
      <c r="I75" s="206"/>
      <c r="K75" s="837"/>
    </row>
    <row r="76" spans="2:11" ht="20.25" customHeight="1">
      <c r="B76" s="454" t="s">
        <v>99</v>
      </c>
      <c r="C76" s="1105">
        <v>40</v>
      </c>
      <c r="D76" s="444" t="s">
        <v>331</v>
      </c>
      <c r="E76" s="444">
        <v>420</v>
      </c>
      <c r="F76" s="454" t="s">
        <v>1573</v>
      </c>
      <c r="G76" s="448"/>
      <c r="H76" s="448"/>
      <c r="I76" s="206"/>
      <c r="K76" s="837"/>
    </row>
    <row r="77" spans="2:11" ht="17.25" customHeight="1">
      <c r="B77" s="454" t="s">
        <v>102</v>
      </c>
      <c r="C77" s="1105">
        <v>89</v>
      </c>
      <c r="D77" s="444" t="s">
        <v>334</v>
      </c>
      <c r="E77" s="444">
        <v>450</v>
      </c>
      <c r="F77" s="454" t="s">
        <v>1574</v>
      </c>
      <c r="G77" s="448"/>
      <c r="H77" s="448"/>
      <c r="I77" s="206"/>
      <c r="K77" s="837"/>
    </row>
    <row r="78" spans="2:11" ht="19.5" customHeight="1">
      <c r="B78" s="931" t="s">
        <v>104</v>
      </c>
      <c r="C78" s="1105">
        <v>130</v>
      </c>
      <c r="D78" s="757" t="s">
        <v>335</v>
      </c>
      <c r="E78" s="757">
        <v>460</v>
      </c>
      <c r="F78" s="931" t="s">
        <v>1575</v>
      </c>
      <c r="G78" s="985">
        <v>17091856</v>
      </c>
      <c r="H78" s="448"/>
      <c r="I78" s="206"/>
      <c r="K78" s="985">
        <v>17091856</v>
      </c>
    </row>
    <row r="79" spans="2:11" ht="15.75" customHeight="1">
      <c r="B79" s="454" t="s">
        <v>106</v>
      </c>
      <c r="C79" s="1105">
        <v>412</v>
      </c>
      <c r="D79" s="444" t="s">
        <v>336</v>
      </c>
      <c r="E79" s="444">
        <v>470</v>
      </c>
      <c r="F79" s="454" t="s">
        <v>1576</v>
      </c>
      <c r="G79" s="985">
        <v>23372396</v>
      </c>
      <c r="H79" s="448"/>
      <c r="I79" s="206"/>
      <c r="K79" s="985">
        <v>23372396</v>
      </c>
    </row>
    <row r="80" spans="2:11" ht="15.75" customHeight="1">
      <c r="B80" s="454" t="s">
        <v>1230</v>
      </c>
      <c r="C80" s="1105">
        <v>862</v>
      </c>
      <c r="D80" s="444" t="s">
        <v>1204</v>
      </c>
      <c r="E80" s="444">
        <v>480</v>
      </c>
      <c r="F80" s="966" t="s">
        <v>1577</v>
      </c>
      <c r="G80" s="985">
        <v>6234075</v>
      </c>
      <c r="H80" s="448"/>
      <c r="I80" s="206"/>
      <c r="K80" s="985">
        <v>6234075</v>
      </c>
    </row>
    <row r="81" spans="1:11" ht="15.75" customHeight="1">
      <c r="B81" s="454" t="s">
        <v>98</v>
      </c>
      <c r="C81" s="1105">
        <v>11618</v>
      </c>
      <c r="D81" s="444" t="s">
        <v>330</v>
      </c>
      <c r="E81" s="444">
        <v>410</v>
      </c>
      <c r="F81" s="454" t="s">
        <v>1578</v>
      </c>
      <c r="G81" s="448"/>
      <c r="H81" s="448"/>
      <c r="I81" s="206"/>
      <c r="K81" s="837"/>
    </row>
    <row r="82" spans="1:11" s="832" customFormat="1" ht="17.25" customHeight="1">
      <c r="B82" s="454" t="s">
        <v>100</v>
      </c>
      <c r="C82" s="1105">
        <v>25554</v>
      </c>
      <c r="D82" s="444" t="s">
        <v>332</v>
      </c>
      <c r="E82" s="444">
        <v>430</v>
      </c>
      <c r="F82" s="454" t="s">
        <v>1579</v>
      </c>
      <c r="G82" s="448"/>
      <c r="H82" s="799"/>
      <c r="I82" s="932"/>
      <c r="K82" s="985"/>
    </row>
    <row r="83" spans="1:11" ht="15.75" customHeight="1">
      <c r="B83" s="454" t="s">
        <v>1297</v>
      </c>
      <c r="C83" s="1104">
        <v>42439</v>
      </c>
      <c r="D83" s="444" t="s">
        <v>333</v>
      </c>
      <c r="E83" s="444">
        <v>440</v>
      </c>
      <c r="F83" s="454" t="s">
        <v>1580</v>
      </c>
      <c r="G83" s="448"/>
      <c r="H83" s="799"/>
      <c r="I83" s="206"/>
      <c r="K83" s="985"/>
    </row>
    <row r="84" spans="1:11" ht="15.75" customHeight="1">
      <c r="B84" s="454" t="s">
        <v>97</v>
      </c>
      <c r="C84" s="1105">
        <v>104952</v>
      </c>
      <c r="D84" s="444" t="s">
        <v>329</v>
      </c>
      <c r="E84" s="444">
        <v>400</v>
      </c>
      <c r="F84" s="454" t="s">
        <v>1581</v>
      </c>
      <c r="G84" s="448"/>
      <c r="H84" s="449"/>
      <c r="K84" s="985"/>
    </row>
    <row r="85" spans="1:11" ht="15.75" customHeight="1">
      <c r="A85" s="933"/>
      <c r="B85" s="925" t="s">
        <v>1316</v>
      </c>
      <c r="C85" s="1107">
        <v>203599</v>
      </c>
      <c r="D85" s="926" t="s">
        <v>1328</v>
      </c>
      <c r="E85" s="926">
        <v>500</v>
      </c>
      <c r="F85" s="927" t="s">
        <v>1582</v>
      </c>
      <c r="G85" s="1037"/>
      <c r="H85" s="928"/>
      <c r="K85" s="917"/>
    </row>
    <row r="86" spans="1:11" ht="15.75" customHeight="1">
      <c r="A86" s="383"/>
      <c r="B86" s="919" t="s">
        <v>1315</v>
      </c>
      <c r="C86" s="1108">
        <v>203658</v>
      </c>
      <c r="D86" s="920" t="s">
        <v>1327</v>
      </c>
      <c r="E86" s="920">
        <v>510</v>
      </c>
      <c r="F86" s="921" t="s">
        <v>1583</v>
      </c>
      <c r="G86" s="923"/>
      <c r="H86" s="924"/>
      <c r="I86" s="72"/>
      <c r="J86" s="72"/>
      <c r="K86" s="929"/>
    </row>
    <row r="87" spans="1:11" ht="15.75" customHeight="1">
      <c r="B87" s="454"/>
      <c r="C87" s="1103"/>
      <c r="D87" s="444"/>
      <c r="E87" s="444"/>
      <c r="F87" s="454"/>
      <c r="G87" s="449">
        <f>SUM(G75:G86)</f>
        <v>46698327</v>
      </c>
      <c r="H87" s="448"/>
      <c r="K87" s="449">
        <f>SUM(K78:K86)</f>
        <v>46698327</v>
      </c>
    </row>
    <row r="88" spans="1:11" ht="14.25">
      <c r="B88" s="845"/>
      <c r="C88" s="1109"/>
      <c r="D88" s="384"/>
      <c r="E88" s="384"/>
      <c r="F88" s="384"/>
      <c r="G88" s="844"/>
      <c r="H88" s="799"/>
    </row>
    <row r="89" spans="1:11" ht="15" thickBot="1">
      <c r="C89" s="1110"/>
      <c r="F89" s="846" t="s">
        <v>195</v>
      </c>
      <c r="G89" s="452">
        <f>G87+G72</f>
        <v>393750000</v>
      </c>
      <c r="H89" s="799"/>
      <c r="K89" s="452">
        <f>K87+K72</f>
        <v>393750000</v>
      </c>
    </row>
    <row r="90" spans="1:11" ht="15" thickTop="1">
      <c r="C90" s="1110"/>
    </row>
    <row r="91" spans="1:11" ht="14.25">
      <c r="C91" s="1110"/>
    </row>
    <row r="92" spans="1:11" ht="15">
      <c r="B92" s="454"/>
      <c r="C92" s="1110"/>
      <c r="G92" s="847">
        <v>262500000</v>
      </c>
      <c r="H92" s="799"/>
      <c r="K92" s="847">
        <v>393750000</v>
      </c>
    </row>
    <row r="93" spans="1:11" ht="15">
      <c r="B93" s="454"/>
      <c r="C93" s="1110"/>
      <c r="G93" s="847">
        <f t="shared" ref="G93" si="0">G89-G92</f>
        <v>131250000</v>
      </c>
      <c r="H93" s="799"/>
      <c r="K93" s="847">
        <f t="shared" ref="K93" si="1">K89-K92</f>
        <v>0</v>
      </c>
    </row>
    <row r="94" spans="1:11" ht="14.25">
      <c r="C94" s="1110"/>
    </row>
    <row r="95" spans="1:11" ht="14.25">
      <c r="C95" s="1110"/>
    </row>
    <row r="96" spans="1:11" ht="14.25">
      <c r="C96" s="1110"/>
      <c r="F96" s="848"/>
    </row>
    <row r="97" spans="2:11" ht="14.25">
      <c r="C97" s="1110"/>
      <c r="F97" s="848"/>
    </row>
    <row r="98" spans="2:11" ht="14.25">
      <c r="B98" s="57"/>
      <c r="C98" s="1111"/>
      <c r="F98" s="848"/>
      <c r="H98" s="57"/>
    </row>
    <row r="99" spans="2:11" ht="14.25">
      <c r="B99" s="57"/>
      <c r="C99" s="1111"/>
      <c r="F99" s="848"/>
      <c r="G99" s="376" t="s">
        <v>1187</v>
      </c>
      <c r="H99" s="57"/>
      <c r="K99" s="376"/>
    </row>
    <row r="100" spans="2:11" ht="14.25">
      <c r="B100" s="57"/>
      <c r="C100" s="1111"/>
      <c r="F100" s="848"/>
      <c r="G100" s="849">
        <v>42600</v>
      </c>
      <c r="H100" s="57"/>
      <c r="K100" s="849"/>
    </row>
    <row r="101" spans="2:11" ht="14.25">
      <c r="B101" s="57"/>
      <c r="C101" s="1111"/>
      <c r="F101" s="848"/>
      <c r="H101" s="57"/>
    </row>
    <row r="102" spans="2:11" ht="14.25">
      <c r="B102" s="57"/>
      <c r="C102" s="1111"/>
      <c r="F102" s="848"/>
      <c r="H102" s="57"/>
    </row>
    <row r="103" spans="2:11" ht="14.25">
      <c r="C103" s="1110"/>
    </row>
    <row r="104" spans="2:11" ht="14.25">
      <c r="C104" s="1110"/>
    </row>
    <row r="105" spans="2:11" ht="14.25">
      <c r="C105" s="1110"/>
    </row>
    <row r="106" spans="2:11" ht="15.75" customHeight="1">
      <c r="B106" s="934" t="s">
        <v>1289</v>
      </c>
      <c r="C106" s="1103">
        <v>3658</v>
      </c>
      <c r="D106" s="750" t="s">
        <v>1290</v>
      </c>
      <c r="E106" s="750">
        <v>501</v>
      </c>
      <c r="F106" s="749" t="s">
        <v>1320</v>
      </c>
      <c r="G106" s="838"/>
      <c r="H106" s="918"/>
      <c r="K106" s="837"/>
    </row>
    <row r="107" spans="2:11" ht="15.75" customHeight="1">
      <c r="B107" s="919" t="s">
        <v>1291</v>
      </c>
      <c r="C107" s="1108">
        <v>203599</v>
      </c>
      <c r="D107" s="920" t="s">
        <v>1292</v>
      </c>
      <c r="E107" s="920">
        <v>511</v>
      </c>
      <c r="F107" s="921" t="s">
        <v>1321</v>
      </c>
      <c r="G107" s="986"/>
      <c r="H107" s="924"/>
      <c r="I107" s="72"/>
      <c r="J107" s="72"/>
      <c r="K107" s="929"/>
    </row>
    <row r="108" spans="2:11" ht="14.25">
      <c r="C108" s="1110"/>
    </row>
    <row r="109" spans="2:11" ht="14.25">
      <c r="C109" s="1110"/>
    </row>
    <row r="110" spans="2:11" ht="15.75" customHeight="1">
      <c r="B110" s="919" t="s">
        <v>1308</v>
      </c>
      <c r="C110" s="1108">
        <v>3658</v>
      </c>
      <c r="D110" s="920" t="s">
        <v>1290</v>
      </c>
      <c r="E110" s="920">
        <v>52</v>
      </c>
      <c r="F110" s="921" t="s">
        <v>1322</v>
      </c>
      <c r="G110" s="923"/>
      <c r="H110" s="924">
        <v>23</v>
      </c>
      <c r="I110" s="72"/>
      <c r="J110" s="72"/>
      <c r="K110" s="922"/>
    </row>
    <row r="111" spans="2:11" ht="15.75" customHeight="1">
      <c r="B111" s="919" t="s">
        <v>1311</v>
      </c>
      <c r="C111" s="1108">
        <v>3599</v>
      </c>
      <c r="D111" s="920" t="s">
        <v>1292</v>
      </c>
      <c r="E111" s="920">
        <v>93</v>
      </c>
      <c r="F111" s="921" t="s">
        <v>1323</v>
      </c>
      <c r="G111" s="922"/>
      <c r="H111" s="924">
        <v>64</v>
      </c>
      <c r="I111" s="72"/>
      <c r="J111" s="72"/>
      <c r="K111" s="922"/>
    </row>
    <row r="112" spans="2:11" ht="14.25">
      <c r="C112" s="1110"/>
    </row>
    <row r="113" spans="2:11" ht="15.75" customHeight="1">
      <c r="B113" s="749" t="s">
        <v>1312</v>
      </c>
      <c r="C113" s="1103">
        <v>3658</v>
      </c>
      <c r="D113" s="750" t="s">
        <v>234</v>
      </c>
      <c r="E113" s="750">
        <v>50</v>
      </c>
      <c r="F113" s="749" t="s">
        <v>1584</v>
      </c>
      <c r="G113" s="983"/>
      <c r="H113" s="798">
        <v>20</v>
      </c>
      <c r="I113" s="72"/>
      <c r="J113" s="72"/>
      <c r="K113" s="837"/>
    </row>
    <row r="114" spans="2:11" ht="15.75" customHeight="1">
      <c r="B114" s="749" t="s">
        <v>1313</v>
      </c>
      <c r="C114" s="1103">
        <v>3599</v>
      </c>
      <c r="D114" s="750" t="s">
        <v>1314</v>
      </c>
      <c r="E114" s="750">
        <v>90</v>
      </c>
      <c r="F114" s="749" t="s">
        <v>1585</v>
      </c>
      <c r="G114" s="843"/>
      <c r="H114" s="798">
        <v>60</v>
      </c>
      <c r="I114" s="72"/>
      <c r="J114" s="72"/>
      <c r="K114" s="837"/>
    </row>
    <row r="115" spans="2:11" ht="14.25">
      <c r="C115" s="1110"/>
    </row>
    <row r="116" spans="2:11" ht="14.25">
      <c r="C116" s="1110"/>
    </row>
    <row r="117" spans="2:11" ht="14.25">
      <c r="C117" s="1110"/>
    </row>
    <row r="118" spans="2:11" ht="14.25">
      <c r="C118" s="1110"/>
    </row>
    <row r="119" spans="2:11" ht="14.25">
      <c r="C119" s="1110"/>
    </row>
    <row r="120" spans="2:11" ht="15.75" customHeight="1">
      <c r="B120" s="839" t="s">
        <v>276</v>
      </c>
      <c r="C120" s="1103">
        <v>518</v>
      </c>
      <c r="D120" s="444" t="s">
        <v>277</v>
      </c>
      <c r="E120" s="444">
        <v>635</v>
      </c>
      <c r="F120" s="454" t="s">
        <v>1341</v>
      </c>
      <c r="G120" s="840"/>
      <c r="H120" s="841"/>
      <c r="I120" s="72"/>
      <c r="J120" s="72"/>
      <c r="K120" s="840"/>
    </row>
    <row r="121" spans="2:11" ht="15.75" customHeight="1">
      <c r="B121" s="839" t="s">
        <v>1285</v>
      </c>
      <c r="C121" s="1103">
        <v>519</v>
      </c>
      <c r="D121" s="444" t="s">
        <v>1286</v>
      </c>
      <c r="E121" s="444">
        <v>637</v>
      </c>
      <c r="F121" s="454" t="s">
        <v>1342</v>
      </c>
      <c r="G121" s="840"/>
      <c r="H121" s="841"/>
      <c r="I121" s="72"/>
      <c r="J121" s="72"/>
      <c r="K121" s="840"/>
    </row>
    <row r="122" spans="2:11" ht="15.75" customHeight="1">
      <c r="B122" s="839" t="s">
        <v>1287</v>
      </c>
      <c r="C122" s="1103">
        <v>707</v>
      </c>
      <c r="D122" s="444" t="s">
        <v>1288</v>
      </c>
      <c r="E122" s="444">
        <v>639</v>
      </c>
      <c r="F122" s="454" t="s">
        <v>1343</v>
      </c>
      <c r="G122" s="840"/>
      <c r="H122" s="841"/>
      <c r="I122" s="72"/>
      <c r="J122" s="72"/>
      <c r="K122" s="840"/>
    </row>
    <row r="123" spans="2:11" ht="14.25">
      <c r="C123" s="1110"/>
    </row>
    <row r="129" spans="2:8">
      <c r="B129" s="57"/>
      <c r="C129" s="57"/>
      <c r="H129" s="57"/>
    </row>
    <row r="130" spans="2:8">
      <c r="B130" s="57"/>
      <c r="C130" s="57"/>
      <c r="H130" s="57"/>
    </row>
  </sheetData>
  <sortState ref="B75:G86">
    <sortCondition ref="C75:C86"/>
  </sortState>
  <mergeCells count="2">
    <mergeCell ref="B6:B7"/>
    <mergeCell ref="K63:K69"/>
  </mergeCells>
  <hyperlinks>
    <hyperlink ref="G1" location="Index!A1" display="Return to Index"/>
  </hyperlinks>
  <pageMargins left="0.2" right="0.2" top="0.5" bottom="0.5" header="0.3" footer="0.3"/>
  <pageSetup scale="79" orientation="landscape" r:id="rId1"/>
  <rowBreaks count="2" manualBreakCount="2">
    <brk id="39" max="7" man="1"/>
    <brk id="72" max="16383" man="1"/>
  </rowBreaks>
  <colBreaks count="1" manualBreakCount="1">
    <brk id="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E52"/>
  <sheetViews>
    <sheetView showGridLines="0" workbookViewId="0">
      <pane xSplit="3" ySplit="5" topLeftCell="D6" activePane="bottomRight" state="frozen"/>
      <selection activeCell="C36" sqref="C36"/>
      <selection pane="topRight" activeCell="C36" sqref="C36"/>
      <selection pane="bottomLeft" activeCell="C36" sqref="C36"/>
      <selection pane="bottomRight" activeCell="A14" sqref="A14:XFD14"/>
    </sheetView>
  </sheetViews>
  <sheetFormatPr defaultRowHeight="12.75" outlineLevelCol="1"/>
  <cols>
    <col min="1" max="1" width="7.42578125" style="53" customWidth="1"/>
    <col min="2" max="2" width="25.5703125" style="89" customWidth="1"/>
    <col min="3" max="3" width="11.42578125" style="53" customWidth="1"/>
    <col min="4" max="4" width="10.85546875" style="491" customWidth="1"/>
    <col min="5" max="5" width="8.42578125" style="491" customWidth="1"/>
    <col min="6" max="6" width="14.28515625" style="534" customWidth="1"/>
    <col min="7" max="7" width="9.140625" style="491"/>
    <col min="13" max="526" width="9.140625" hidden="1" customWidth="1" outlineLevel="1"/>
    <col min="527" max="527" width="4.42578125" customWidth="1" collapsed="1"/>
    <col min="528" max="528" width="3.85546875" customWidth="1"/>
    <col min="529" max="572" width="9.140625" hidden="1" customWidth="1" outlineLevel="1"/>
    <col min="573" max="573" width="4.28515625" customWidth="1" collapsed="1"/>
    <col min="574" max="574" width="3.7109375" customWidth="1"/>
    <col min="575" max="575" width="25.7109375" customWidth="1"/>
    <col min="576" max="576" width="19.5703125" customWidth="1"/>
    <col min="577" max="577" width="22.140625" customWidth="1"/>
  </cols>
  <sheetData>
    <row r="1" spans="1:577" ht="15.75" customHeight="1">
      <c r="A1" s="454">
        <v>380</v>
      </c>
      <c r="B1" s="1347" t="s">
        <v>326</v>
      </c>
      <c r="C1" s="1348"/>
      <c r="D1" s="1348"/>
      <c r="E1" s="1348"/>
      <c r="F1" s="1349"/>
      <c r="H1" s="50" t="s">
        <v>994</v>
      </c>
      <c r="J1" s="737" t="s">
        <v>1123</v>
      </c>
    </row>
    <row r="2" spans="1:577" s="53" customFormat="1">
      <c r="A2" s="50"/>
      <c r="M2" s="53">
        <v>10</v>
      </c>
      <c r="V2" s="53">
        <v>11</v>
      </c>
      <c r="AE2" s="53">
        <v>12</v>
      </c>
      <c r="AN2" s="53">
        <v>13</v>
      </c>
      <c r="AW2" s="53">
        <v>14</v>
      </c>
      <c r="BF2" s="53">
        <v>19</v>
      </c>
      <c r="BO2" s="53">
        <v>20</v>
      </c>
      <c r="BX2" s="53">
        <v>21</v>
      </c>
      <c r="CG2" s="53">
        <v>22</v>
      </c>
      <c r="CP2" s="53">
        <v>23</v>
      </c>
      <c r="CY2" s="53">
        <v>24</v>
      </c>
      <c r="DH2" s="53">
        <v>25</v>
      </c>
      <c r="DQ2" s="53">
        <v>26</v>
      </c>
      <c r="DZ2" s="53">
        <v>27</v>
      </c>
      <c r="EI2" s="53">
        <v>28</v>
      </c>
      <c r="ER2" s="53">
        <v>32</v>
      </c>
      <c r="FA2" s="53">
        <v>33</v>
      </c>
      <c r="FJ2" s="53">
        <v>34</v>
      </c>
      <c r="FS2" s="53">
        <v>35</v>
      </c>
      <c r="GB2" s="53">
        <v>36</v>
      </c>
      <c r="GK2" s="53">
        <v>37</v>
      </c>
      <c r="GT2" s="53">
        <v>38</v>
      </c>
      <c r="HC2" s="53">
        <v>39</v>
      </c>
      <c r="HL2" s="53">
        <v>40</v>
      </c>
      <c r="HU2" s="53">
        <v>41</v>
      </c>
      <c r="ID2" s="53">
        <v>47</v>
      </c>
      <c r="IM2" s="53">
        <v>50</v>
      </c>
      <c r="IV2" s="53">
        <v>53</v>
      </c>
      <c r="JE2" s="53">
        <v>56</v>
      </c>
      <c r="JN2" s="53">
        <v>57</v>
      </c>
      <c r="JW2" s="53">
        <v>58</v>
      </c>
      <c r="KF2" s="53">
        <v>59</v>
      </c>
      <c r="KO2" s="53">
        <v>60</v>
      </c>
      <c r="KX2" s="53">
        <v>61</v>
      </c>
      <c r="LG2" s="53">
        <v>65</v>
      </c>
      <c r="LP2" s="53">
        <v>66</v>
      </c>
      <c r="LY2" s="53">
        <v>67</v>
      </c>
      <c r="MH2" s="53">
        <v>68</v>
      </c>
      <c r="MQ2" s="53">
        <v>69</v>
      </c>
      <c r="MZ2" s="53">
        <v>70</v>
      </c>
      <c r="NI2" s="53">
        <v>71</v>
      </c>
      <c r="NR2" s="53">
        <v>72</v>
      </c>
      <c r="OA2" s="53">
        <v>73</v>
      </c>
      <c r="OC2"/>
      <c r="OD2"/>
      <c r="OJ2" s="53">
        <v>74</v>
      </c>
      <c r="OS2" s="53">
        <v>75</v>
      </c>
      <c r="PB2" s="53">
        <v>76</v>
      </c>
      <c r="PK2" s="53">
        <v>80</v>
      </c>
      <c r="PT2" s="53">
        <v>81</v>
      </c>
      <c r="QC2" s="53">
        <v>82</v>
      </c>
      <c r="QL2" s="53">
        <v>83</v>
      </c>
      <c r="QU2" s="53">
        <v>87</v>
      </c>
      <c r="RD2" s="53">
        <v>88</v>
      </c>
      <c r="RM2" s="53">
        <v>93</v>
      </c>
      <c r="RV2" s="53">
        <v>94</v>
      </c>
      <c r="SE2" s="53">
        <v>95</v>
      </c>
      <c r="SN2" s="53">
        <v>96</v>
      </c>
      <c r="SW2" s="53">
        <v>97</v>
      </c>
      <c r="TH2" s="514"/>
      <c r="TK2" s="53" t="s">
        <v>1010</v>
      </c>
      <c r="TU2" s="53" t="s">
        <v>959</v>
      </c>
      <c r="UD2" s="53" t="s">
        <v>968</v>
      </c>
      <c r="UM2" s="53" t="s">
        <v>1011</v>
      </c>
      <c r="UO2" s="53" t="s">
        <v>1012</v>
      </c>
    </row>
    <row r="3" spans="1:577">
      <c r="A3"/>
      <c r="B3"/>
      <c r="C3"/>
      <c r="D3"/>
      <c r="E3"/>
      <c r="I3" s="513"/>
      <c r="J3" s="534"/>
      <c r="K3" s="513"/>
      <c r="L3" s="513"/>
      <c r="M3" s="1344" t="s">
        <v>1</v>
      </c>
      <c r="N3" s="1345"/>
      <c r="O3" s="1345"/>
      <c r="P3" s="1345"/>
      <c r="Q3" s="1345"/>
      <c r="R3" s="1345"/>
      <c r="S3" s="1345"/>
      <c r="T3" s="1345"/>
      <c r="U3" s="1346"/>
      <c r="V3" s="1344" t="s">
        <v>2</v>
      </c>
      <c r="W3" s="1345"/>
      <c r="X3" s="1345"/>
      <c r="Y3" s="1345"/>
      <c r="Z3" s="1345"/>
      <c r="AA3" s="1345"/>
      <c r="AB3" s="1345"/>
      <c r="AC3" s="1345"/>
      <c r="AD3" s="1346"/>
      <c r="AE3" s="1344" t="s">
        <v>96</v>
      </c>
      <c r="AF3" s="1345"/>
      <c r="AG3" s="1345"/>
      <c r="AH3" s="1345"/>
      <c r="AI3" s="1345"/>
      <c r="AJ3" s="1345"/>
      <c r="AK3" s="1345"/>
      <c r="AL3" s="1345"/>
      <c r="AM3" s="1346"/>
      <c r="AN3" s="1344" t="s">
        <v>26</v>
      </c>
      <c r="AO3" s="1345"/>
      <c r="AP3" s="1345"/>
      <c r="AQ3" s="1345"/>
      <c r="AR3" s="1345"/>
      <c r="AS3" s="1345"/>
      <c r="AT3" s="1345"/>
      <c r="AU3" s="1345"/>
      <c r="AV3" s="1346"/>
      <c r="AW3" s="1344" t="s">
        <v>39</v>
      </c>
      <c r="AX3" s="1345"/>
      <c r="AY3" s="1345"/>
      <c r="AZ3" s="1345"/>
      <c r="BA3" s="1345"/>
      <c r="BB3" s="1345"/>
      <c r="BC3" s="1345"/>
      <c r="BD3" s="1345"/>
      <c r="BE3" s="1346"/>
      <c r="BF3" s="1344" t="s">
        <v>638</v>
      </c>
      <c r="BG3" s="1345"/>
      <c r="BH3" s="1345"/>
      <c r="BI3" s="1345"/>
      <c r="BJ3" s="1345"/>
      <c r="BK3" s="1345"/>
      <c r="BL3" s="1345"/>
      <c r="BM3" s="1345"/>
      <c r="BN3" s="1346"/>
      <c r="BO3" s="1344" t="s">
        <v>639</v>
      </c>
      <c r="BP3" s="1345"/>
      <c r="BQ3" s="1345"/>
      <c r="BR3" s="1345"/>
      <c r="BS3" s="1345"/>
      <c r="BT3" s="1345"/>
      <c r="BU3" s="1345"/>
      <c r="BV3" s="1345"/>
      <c r="BW3" s="1346"/>
      <c r="BX3" s="1344" t="s">
        <v>640</v>
      </c>
      <c r="BY3" s="1345"/>
      <c r="BZ3" s="1345"/>
      <c r="CA3" s="1345"/>
      <c r="CB3" s="1345"/>
      <c r="CC3" s="1345"/>
      <c r="CD3" s="1345"/>
      <c r="CE3" s="1345"/>
      <c r="CF3" s="1346"/>
      <c r="CG3" s="1344" t="s">
        <v>641</v>
      </c>
      <c r="CH3" s="1345"/>
      <c r="CI3" s="1345"/>
      <c r="CJ3" s="1345"/>
      <c r="CK3" s="1345"/>
      <c r="CL3" s="1345"/>
      <c r="CM3" s="1345"/>
      <c r="CN3" s="1345"/>
      <c r="CO3" s="1346"/>
      <c r="CP3" s="1344" t="s">
        <v>642</v>
      </c>
      <c r="CQ3" s="1345"/>
      <c r="CR3" s="1345"/>
      <c r="CS3" s="1345"/>
      <c r="CT3" s="1345"/>
      <c r="CU3" s="1345"/>
      <c r="CV3" s="1345"/>
      <c r="CW3" s="1345"/>
      <c r="CX3" s="1346"/>
      <c r="CY3" s="1344" t="s">
        <v>643</v>
      </c>
      <c r="CZ3" s="1345"/>
      <c r="DA3" s="1345"/>
      <c r="DB3" s="1345"/>
      <c r="DC3" s="1345"/>
      <c r="DD3" s="1345"/>
      <c r="DE3" s="1345"/>
      <c r="DF3" s="1345"/>
      <c r="DG3" s="1346"/>
      <c r="DH3" s="1344" t="s">
        <v>644</v>
      </c>
      <c r="DI3" s="1345"/>
      <c r="DJ3" s="1345"/>
      <c r="DK3" s="1345"/>
      <c r="DL3" s="1345"/>
      <c r="DM3" s="1345"/>
      <c r="DN3" s="1345"/>
      <c r="DO3" s="1345"/>
      <c r="DP3" s="1346"/>
      <c r="DQ3" s="1344" t="s">
        <v>645</v>
      </c>
      <c r="DR3" s="1345"/>
      <c r="DS3" s="1345"/>
      <c r="DT3" s="1345"/>
      <c r="DU3" s="1345"/>
      <c r="DV3" s="1345"/>
      <c r="DW3" s="1345"/>
      <c r="DX3" s="1345"/>
      <c r="DY3" s="1346"/>
      <c r="DZ3" s="1344" t="s">
        <v>646</v>
      </c>
      <c r="EA3" s="1345"/>
      <c r="EB3" s="1345"/>
      <c r="EC3" s="1345"/>
      <c r="ED3" s="1345"/>
      <c r="EE3" s="1345"/>
      <c r="EF3" s="1345"/>
      <c r="EG3" s="1345"/>
      <c r="EH3" s="1346"/>
      <c r="EI3" s="1344" t="s">
        <v>647</v>
      </c>
      <c r="EJ3" s="1345"/>
      <c r="EK3" s="1345"/>
      <c r="EL3" s="1345"/>
      <c r="EM3" s="1345"/>
      <c r="EN3" s="1345"/>
      <c r="EO3" s="1345"/>
      <c r="EP3" s="1345"/>
      <c r="EQ3" s="1346"/>
      <c r="ER3" s="1344" t="s">
        <v>638</v>
      </c>
      <c r="ES3" s="1345"/>
      <c r="ET3" s="1345"/>
      <c r="EU3" s="1345"/>
      <c r="EV3" s="1345"/>
      <c r="EW3" s="1345"/>
      <c r="EX3" s="1345"/>
      <c r="EY3" s="1345"/>
      <c r="EZ3" s="1346"/>
      <c r="FA3" s="1344" t="s">
        <v>639</v>
      </c>
      <c r="FB3" s="1345"/>
      <c r="FC3" s="1345"/>
      <c r="FD3" s="1345"/>
      <c r="FE3" s="1345"/>
      <c r="FF3" s="1345"/>
      <c r="FG3" s="1345"/>
      <c r="FH3" s="1345"/>
      <c r="FI3" s="1346"/>
      <c r="FJ3" s="1344" t="s">
        <v>640</v>
      </c>
      <c r="FK3" s="1345"/>
      <c r="FL3" s="1345"/>
      <c r="FM3" s="1345"/>
      <c r="FN3" s="1345"/>
      <c r="FO3" s="1345"/>
      <c r="FP3" s="1345"/>
      <c r="FQ3" s="1345"/>
      <c r="FR3" s="1346"/>
      <c r="FS3" s="1344" t="s">
        <v>641</v>
      </c>
      <c r="FT3" s="1345"/>
      <c r="FU3" s="1345"/>
      <c r="FV3" s="1345"/>
      <c r="FW3" s="1345"/>
      <c r="FX3" s="1345"/>
      <c r="FY3" s="1345"/>
      <c r="FZ3" s="1345"/>
      <c r="GA3" s="1346"/>
      <c r="GB3" s="1344" t="s">
        <v>648</v>
      </c>
      <c r="GC3" s="1345"/>
      <c r="GD3" s="1345"/>
      <c r="GE3" s="1345"/>
      <c r="GF3" s="1345"/>
      <c r="GG3" s="1345"/>
      <c r="GH3" s="1345"/>
      <c r="GI3" s="1345"/>
      <c r="GJ3" s="1346"/>
      <c r="GK3" s="1344" t="s">
        <v>643</v>
      </c>
      <c r="GL3" s="1345"/>
      <c r="GM3" s="1345"/>
      <c r="GN3" s="1345"/>
      <c r="GO3" s="1345"/>
      <c r="GP3" s="1345"/>
      <c r="GQ3" s="1345"/>
      <c r="GR3" s="1345"/>
      <c r="GS3" s="1346"/>
      <c r="GT3" s="1344" t="s">
        <v>644</v>
      </c>
      <c r="GU3" s="1345"/>
      <c r="GV3" s="1345"/>
      <c r="GW3" s="1345"/>
      <c r="GX3" s="1345"/>
      <c r="GY3" s="1345"/>
      <c r="GZ3" s="1345"/>
      <c r="HA3" s="1345"/>
      <c r="HB3" s="1346"/>
      <c r="HC3" s="1344" t="s">
        <v>645</v>
      </c>
      <c r="HD3" s="1345"/>
      <c r="HE3" s="1345"/>
      <c r="HF3" s="1345"/>
      <c r="HG3" s="1345"/>
      <c r="HH3" s="1345"/>
      <c r="HI3" s="1345"/>
      <c r="HJ3" s="1345"/>
      <c r="HK3" s="1346"/>
      <c r="HL3" s="1344" t="s">
        <v>646</v>
      </c>
      <c r="HM3" s="1345"/>
      <c r="HN3" s="1345"/>
      <c r="HO3" s="1345"/>
      <c r="HP3" s="1345"/>
      <c r="HQ3" s="1345"/>
      <c r="HR3" s="1345"/>
      <c r="HS3" s="1345"/>
      <c r="HT3" s="1346"/>
      <c r="HU3" s="1344" t="s">
        <v>647</v>
      </c>
      <c r="HV3" s="1345"/>
      <c r="HW3" s="1345"/>
      <c r="HX3" s="1345"/>
      <c r="HY3" s="1345"/>
      <c r="HZ3" s="1345"/>
      <c r="IA3" s="1345"/>
      <c r="IB3" s="1345"/>
      <c r="IC3" s="1346"/>
      <c r="ID3" s="1344" t="s">
        <v>7</v>
      </c>
      <c r="IE3" s="1345"/>
      <c r="IF3" s="1345"/>
      <c r="IG3" s="1345"/>
      <c r="IH3" s="1345"/>
      <c r="II3" s="1345"/>
      <c r="IJ3" s="1345"/>
      <c r="IK3" s="1345"/>
      <c r="IL3" s="1346"/>
      <c r="IM3" s="1344" t="s">
        <v>57</v>
      </c>
      <c r="IN3" s="1345"/>
      <c r="IO3" s="1345"/>
      <c r="IP3" s="1345"/>
      <c r="IQ3" s="1345"/>
      <c r="IR3" s="1345"/>
      <c r="IS3" s="1345"/>
      <c r="IT3" s="1345"/>
      <c r="IU3" s="1346"/>
      <c r="IV3" s="1344" t="s">
        <v>55</v>
      </c>
      <c r="IW3" s="1345"/>
      <c r="IX3" s="1345"/>
      <c r="IY3" s="1345"/>
      <c r="IZ3" s="1345"/>
      <c r="JA3" s="1345"/>
      <c r="JB3" s="1345"/>
      <c r="JC3" s="1345"/>
      <c r="JD3" s="1346"/>
      <c r="JE3" s="1344" t="s">
        <v>649</v>
      </c>
      <c r="JF3" s="1345"/>
      <c r="JG3" s="1345"/>
      <c r="JH3" s="1345"/>
      <c r="JI3" s="1345"/>
      <c r="JJ3" s="1345"/>
      <c r="JK3" s="1345"/>
      <c r="JL3" s="1345"/>
      <c r="JM3" s="1346"/>
      <c r="JN3" s="1344" t="s">
        <v>9</v>
      </c>
      <c r="JO3" s="1345"/>
      <c r="JP3" s="1345"/>
      <c r="JQ3" s="1345"/>
      <c r="JR3" s="1345"/>
      <c r="JS3" s="1345"/>
      <c r="JT3" s="1345"/>
      <c r="JU3" s="1345"/>
      <c r="JV3" s="1346"/>
      <c r="JW3" s="1344" t="s">
        <v>10</v>
      </c>
      <c r="JX3" s="1345"/>
      <c r="JY3" s="1345"/>
      <c r="JZ3" s="1345"/>
      <c r="KA3" s="1345"/>
      <c r="KB3" s="1345"/>
      <c r="KC3" s="1345"/>
      <c r="KD3" s="1345"/>
      <c r="KE3" s="1346"/>
      <c r="KF3" s="1344" t="s">
        <v>11</v>
      </c>
      <c r="KG3" s="1345"/>
      <c r="KH3" s="1345"/>
      <c r="KI3" s="1345"/>
      <c r="KJ3" s="1345"/>
      <c r="KK3" s="1345"/>
      <c r="KL3" s="1345"/>
      <c r="KM3" s="1345"/>
      <c r="KN3" s="1346"/>
      <c r="KO3" s="1344" t="s">
        <v>12</v>
      </c>
      <c r="KP3" s="1345"/>
      <c r="KQ3" s="1345"/>
      <c r="KR3" s="1345"/>
      <c r="KS3" s="1345"/>
      <c r="KT3" s="1345"/>
      <c r="KU3" s="1345"/>
      <c r="KV3" s="1345"/>
      <c r="KW3" s="1346"/>
      <c r="KX3" s="1344" t="s">
        <v>48</v>
      </c>
      <c r="KY3" s="1345"/>
      <c r="KZ3" s="1345"/>
      <c r="LA3" s="1345"/>
      <c r="LB3" s="1345"/>
      <c r="LC3" s="1345"/>
      <c r="LD3" s="1345"/>
      <c r="LE3" s="1345"/>
      <c r="LF3" s="1346"/>
      <c r="LG3" s="1344" t="s">
        <v>14</v>
      </c>
      <c r="LH3" s="1345"/>
      <c r="LI3" s="1345"/>
      <c r="LJ3" s="1345"/>
      <c r="LK3" s="1345"/>
      <c r="LL3" s="1345"/>
      <c r="LM3" s="1345"/>
      <c r="LN3" s="1345"/>
      <c r="LO3" s="1346"/>
      <c r="LP3" s="1344" t="s">
        <v>15</v>
      </c>
      <c r="LQ3" s="1345"/>
      <c r="LR3" s="1345"/>
      <c r="LS3" s="1345"/>
      <c r="LT3" s="1345"/>
      <c r="LU3" s="1345"/>
      <c r="LV3" s="1345"/>
      <c r="LW3" s="1345"/>
      <c r="LX3" s="1346"/>
      <c r="LY3" s="1344" t="s">
        <v>16</v>
      </c>
      <c r="LZ3" s="1345"/>
      <c r="MA3" s="1345"/>
      <c r="MB3" s="1345"/>
      <c r="MC3" s="1345"/>
      <c r="MD3" s="1345"/>
      <c r="ME3" s="1345"/>
      <c r="MF3" s="1345"/>
      <c r="MG3" s="1346"/>
      <c r="MH3" s="1344" t="s">
        <v>55</v>
      </c>
      <c r="MI3" s="1345"/>
      <c r="MJ3" s="1345"/>
      <c r="MK3" s="1345"/>
      <c r="ML3" s="1345"/>
      <c r="MM3" s="1345"/>
      <c r="MN3" s="1345"/>
      <c r="MO3" s="1345"/>
      <c r="MP3" s="1346"/>
      <c r="MQ3" s="1344" t="s">
        <v>17</v>
      </c>
      <c r="MR3" s="1345"/>
      <c r="MS3" s="1345"/>
      <c r="MT3" s="1345"/>
      <c r="MU3" s="1345"/>
      <c r="MV3" s="1345"/>
      <c r="MW3" s="1345"/>
      <c r="MX3" s="1345"/>
      <c r="MY3" s="1346"/>
      <c r="MZ3" s="1344" t="s">
        <v>18</v>
      </c>
      <c r="NA3" s="1345"/>
      <c r="NB3" s="1345"/>
      <c r="NC3" s="1345"/>
      <c r="ND3" s="1345"/>
      <c r="NE3" s="1345"/>
      <c r="NF3" s="1345"/>
      <c r="NG3" s="1345"/>
      <c r="NH3" s="1346"/>
      <c r="NI3" s="1344" t="s">
        <v>19</v>
      </c>
      <c r="NJ3" s="1345"/>
      <c r="NK3" s="1345"/>
      <c r="NL3" s="1345"/>
      <c r="NM3" s="1345"/>
      <c r="NN3" s="1345"/>
      <c r="NO3" s="1345"/>
      <c r="NP3" s="1345"/>
      <c r="NQ3" s="1346"/>
      <c r="NR3" s="1344" t="s">
        <v>20</v>
      </c>
      <c r="NS3" s="1345"/>
      <c r="NT3" s="1345"/>
      <c r="NU3" s="1345"/>
      <c r="NV3" s="1345"/>
      <c r="NW3" s="1345"/>
      <c r="NX3" s="1345"/>
      <c r="NY3" s="1345"/>
      <c r="NZ3" s="1346"/>
      <c r="OA3" s="1344" t="s">
        <v>21</v>
      </c>
      <c r="OB3" s="1345"/>
      <c r="OC3" s="1345"/>
      <c r="OD3" s="1345"/>
      <c r="OE3" s="1345"/>
      <c r="OF3" s="1345"/>
      <c r="OG3" s="1345"/>
      <c r="OH3" s="1345"/>
      <c r="OI3" s="1346"/>
      <c r="OJ3" s="1344" t="s">
        <v>22</v>
      </c>
      <c r="OK3" s="1345"/>
      <c r="OL3" s="1345"/>
      <c r="OM3" s="1345"/>
      <c r="ON3" s="1345"/>
      <c r="OO3" s="1345"/>
      <c r="OP3" s="1345"/>
      <c r="OQ3" s="1345"/>
      <c r="OR3" s="1346"/>
      <c r="OS3" s="1344" t="s">
        <v>65</v>
      </c>
      <c r="OT3" s="1345"/>
      <c r="OU3" s="1345"/>
      <c r="OV3" s="1345"/>
      <c r="OW3" s="1345"/>
      <c r="OX3" s="1345"/>
      <c r="OY3" s="1345"/>
      <c r="OZ3" s="1345"/>
      <c r="PA3" s="1346"/>
      <c r="PB3" s="1344" t="s">
        <v>49</v>
      </c>
      <c r="PC3" s="1345"/>
      <c r="PD3" s="1345"/>
      <c r="PE3" s="1345"/>
      <c r="PF3" s="1345"/>
      <c r="PG3" s="1345"/>
      <c r="PH3" s="1345"/>
      <c r="PI3" s="1345"/>
      <c r="PJ3" s="1346"/>
      <c r="PK3" s="1344" t="s">
        <v>66</v>
      </c>
      <c r="PL3" s="1345"/>
      <c r="PM3" s="1345"/>
      <c r="PN3" s="1345"/>
      <c r="PO3" s="1345"/>
      <c r="PP3" s="1345"/>
      <c r="PQ3" s="1345"/>
      <c r="PR3" s="1345"/>
      <c r="PS3" s="1346"/>
      <c r="PT3" s="1344" t="s">
        <v>650</v>
      </c>
      <c r="PU3" s="1345"/>
      <c r="PV3" s="1345"/>
      <c r="PW3" s="1345"/>
      <c r="PX3" s="1345"/>
      <c r="PY3" s="1345"/>
      <c r="PZ3" s="1345"/>
      <c r="QA3" s="1345"/>
      <c r="QB3" s="1346"/>
      <c r="QC3" s="1344" t="s">
        <v>651</v>
      </c>
      <c r="QD3" s="1345"/>
      <c r="QE3" s="1345"/>
      <c r="QF3" s="1345"/>
      <c r="QG3" s="1345"/>
      <c r="QH3" s="1345"/>
      <c r="QI3" s="1345"/>
      <c r="QJ3" s="1345"/>
      <c r="QK3" s="1346"/>
      <c r="QL3" s="1344" t="s">
        <v>652</v>
      </c>
      <c r="QM3" s="1345"/>
      <c r="QN3" s="1345"/>
      <c r="QO3" s="1345"/>
      <c r="QP3" s="1345"/>
      <c r="QQ3" s="1345"/>
      <c r="QR3" s="1345"/>
      <c r="QS3" s="1345"/>
      <c r="QT3" s="1346"/>
      <c r="QU3" s="1344" t="s">
        <v>653</v>
      </c>
      <c r="QV3" s="1345"/>
      <c r="QW3" s="1345"/>
      <c r="QX3" s="1345"/>
      <c r="QY3" s="1345"/>
      <c r="QZ3" s="1345"/>
      <c r="RA3" s="1345"/>
      <c r="RB3" s="1345"/>
      <c r="RC3" s="1346"/>
      <c r="RD3" s="1344" t="s">
        <v>654</v>
      </c>
      <c r="RE3" s="1345"/>
      <c r="RF3" s="1345"/>
      <c r="RG3" s="1345"/>
      <c r="RH3" s="1345"/>
      <c r="RI3" s="1345"/>
      <c r="RJ3" s="1345"/>
      <c r="RK3" s="1345"/>
      <c r="RL3" s="1346"/>
      <c r="RM3" s="1344" t="s">
        <v>69</v>
      </c>
      <c r="RN3" s="1345"/>
      <c r="RO3" s="1345"/>
      <c r="RP3" s="1345"/>
      <c r="RQ3" s="1345"/>
      <c r="RR3" s="1345"/>
      <c r="RS3" s="1345"/>
      <c r="RT3" s="1345"/>
      <c r="RU3" s="1346"/>
      <c r="RV3" s="1344" t="s">
        <v>94</v>
      </c>
      <c r="RW3" s="1345"/>
      <c r="RX3" s="1345"/>
      <c r="RY3" s="1345"/>
      <c r="RZ3" s="1345"/>
      <c r="SA3" s="1345"/>
      <c r="SB3" s="1345"/>
      <c r="SC3" s="1345"/>
      <c r="SD3" s="1346"/>
      <c r="SE3" s="1344" t="s">
        <v>103</v>
      </c>
      <c r="SF3" s="1345"/>
      <c r="SG3" s="1345"/>
      <c r="SH3" s="1345"/>
      <c r="SI3" s="1345"/>
      <c r="SJ3" s="1345"/>
      <c r="SK3" s="1345"/>
      <c r="SL3" s="1345"/>
      <c r="SM3" s="1346"/>
      <c r="SN3" s="1344" t="s">
        <v>141</v>
      </c>
      <c r="SO3" s="1345"/>
      <c r="SP3" s="1345"/>
      <c r="SQ3" s="1345"/>
      <c r="SR3" s="1345"/>
      <c r="SS3" s="1345"/>
      <c r="ST3" s="1345"/>
      <c r="SU3" s="1345"/>
      <c r="SV3" s="1346"/>
      <c r="SW3" s="1344" t="s">
        <v>70</v>
      </c>
      <c r="SX3" s="1345"/>
      <c r="SY3" s="1345"/>
      <c r="SZ3" s="1345"/>
      <c r="TA3" s="1345"/>
      <c r="TB3" s="1345"/>
      <c r="TC3" s="1345"/>
      <c r="TD3" s="1345"/>
      <c r="TE3" s="1346"/>
      <c r="TH3" s="514"/>
      <c r="TI3" s="1350" t="s">
        <v>182</v>
      </c>
      <c r="TJ3" s="1351"/>
      <c r="TK3" s="1352" t="s">
        <v>655</v>
      </c>
      <c r="TL3" s="1353"/>
      <c r="TM3" s="1353"/>
      <c r="TN3" s="1353"/>
      <c r="TO3" s="1353"/>
      <c r="TP3" s="1353"/>
      <c r="TQ3" s="1353"/>
      <c r="TR3" s="1353"/>
      <c r="TS3" s="1353"/>
      <c r="TT3" s="1354"/>
      <c r="TU3" s="1352" t="s">
        <v>338</v>
      </c>
      <c r="TV3" s="1353"/>
      <c r="TW3" s="1353"/>
      <c r="TX3" s="1353"/>
      <c r="TY3" s="1353"/>
      <c r="TZ3" s="1353"/>
      <c r="UA3" s="1353"/>
      <c r="UB3" s="1353"/>
      <c r="UC3" s="1354"/>
      <c r="UD3" s="1352" t="s">
        <v>339</v>
      </c>
      <c r="UE3" s="1353"/>
      <c r="UF3" s="1353"/>
      <c r="UG3" s="1353"/>
      <c r="UH3" s="1353"/>
      <c r="UI3" s="1353"/>
      <c r="UJ3" s="1353"/>
      <c r="UK3" s="1353"/>
      <c r="UL3" s="1354"/>
      <c r="UM3" s="1355" t="s">
        <v>656</v>
      </c>
      <c r="UN3" s="1356"/>
      <c r="UO3" s="1352" t="s">
        <v>182</v>
      </c>
      <c r="UP3" s="1353"/>
      <c r="UQ3" s="1353"/>
      <c r="UR3" s="1353"/>
      <c r="US3" s="1353"/>
      <c r="UT3" s="1353"/>
      <c r="UU3" s="1353"/>
      <c r="UV3" s="1353"/>
      <c r="UW3" s="1353"/>
      <c r="UX3" s="1354"/>
      <c r="UY3" s="1352" t="s">
        <v>657</v>
      </c>
      <c r="UZ3" s="1354"/>
      <c r="VB3" s="514"/>
      <c r="VC3" s="1352" t="s">
        <v>340</v>
      </c>
      <c r="VD3" s="1353"/>
      <c r="VE3" s="1354"/>
    </row>
    <row r="4" spans="1:577" ht="28.5" customHeight="1">
      <c r="A4"/>
      <c r="B4"/>
      <c r="C4"/>
      <c r="D4" s="50"/>
      <c r="E4"/>
      <c r="M4" s="515" t="s">
        <v>658</v>
      </c>
      <c r="N4" s="516" t="s">
        <v>659</v>
      </c>
      <c r="O4" s="516" t="s">
        <v>660</v>
      </c>
      <c r="P4" s="516" t="s">
        <v>661</v>
      </c>
      <c r="Q4" s="516" t="s">
        <v>662</v>
      </c>
      <c r="R4" s="516" t="s">
        <v>663</v>
      </c>
      <c r="S4" s="516" t="s">
        <v>664</v>
      </c>
      <c r="T4" s="516" t="s">
        <v>665</v>
      </c>
      <c r="U4" s="517" t="s">
        <v>666</v>
      </c>
      <c r="V4" s="515" t="s">
        <v>658</v>
      </c>
      <c r="W4" s="516" t="s">
        <v>659</v>
      </c>
      <c r="X4" s="516" t="s">
        <v>660</v>
      </c>
      <c r="Y4" s="516" t="s">
        <v>661</v>
      </c>
      <c r="Z4" s="516" t="s">
        <v>662</v>
      </c>
      <c r="AA4" s="516" t="s">
        <v>663</v>
      </c>
      <c r="AB4" s="516" t="s">
        <v>664</v>
      </c>
      <c r="AC4" s="516" t="s">
        <v>665</v>
      </c>
      <c r="AD4" s="517" t="s">
        <v>666</v>
      </c>
      <c r="AE4" s="515" t="s">
        <v>658</v>
      </c>
      <c r="AF4" s="516" t="s">
        <v>659</v>
      </c>
      <c r="AG4" s="516" t="s">
        <v>660</v>
      </c>
      <c r="AH4" s="516" t="s">
        <v>661</v>
      </c>
      <c r="AI4" s="516" t="s">
        <v>662</v>
      </c>
      <c r="AJ4" s="516" t="s">
        <v>663</v>
      </c>
      <c r="AK4" s="516" t="s">
        <v>664</v>
      </c>
      <c r="AL4" s="516" t="s">
        <v>665</v>
      </c>
      <c r="AM4" s="517" t="s">
        <v>666</v>
      </c>
      <c r="AN4" s="515" t="s">
        <v>658</v>
      </c>
      <c r="AO4" s="516" t="s">
        <v>659</v>
      </c>
      <c r="AP4" s="516" t="s">
        <v>660</v>
      </c>
      <c r="AQ4" s="516" t="s">
        <v>661</v>
      </c>
      <c r="AR4" s="516" t="s">
        <v>662</v>
      </c>
      <c r="AS4" s="516" t="s">
        <v>663</v>
      </c>
      <c r="AT4" s="516" t="s">
        <v>664</v>
      </c>
      <c r="AU4" s="516" t="s">
        <v>665</v>
      </c>
      <c r="AV4" s="517" t="s">
        <v>666</v>
      </c>
      <c r="AW4" s="515" t="s">
        <v>658</v>
      </c>
      <c r="AX4" s="516" t="s">
        <v>659</v>
      </c>
      <c r="AY4" s="516" t="s">
        <v>660</v>
      </c>
      <c r="AZ4" s="516" t="s">
        <v>661</v>
      </c>
      <c r="BA4" s="516" t="s">
        <v>662</v>
      </c>
      <c r="BB4" s="516" t="s">
        <v>663</v>
      </c>
      <c r="BC4" s="516" t="s">
        <v>664</v>
      </c>
      <c r="BD4" s="516" t="s">
        <v>665</v>
      </c>
      <c r="BE4" s="517" t="s">
        <v>666</v>
      </c>
      <c r="BF4" s="515" t="s">
        <v>658</v>
      </c>
      <c r="BG4" s="516" t="s">
        <v>659</v>
      </c>
      <c r="BH4" s="516" t="s">
        <v>660</v>
      </c>
      <c r="BI4" s="516" t="s">
        <v>661</v>
      </c>
      <c r="BJ4" s="516" t="s">
        <v>662</v>
      </c>
      <c r="BK4" s="516" t="s">
        <v>663</v>
      </c>
      <c r="BL4" s="516" t="s">
        <v>664</v>
      </c>
      <c r="BM4" s="516" t="s">
        <v>665</v>
      </c>
      <c r="BN4" s="517" t="s">
        <v>666</v>
      </c>
      <c r="BO4" s="515" t="s">
        <v>658</v>
      </c>
      <c r="BP4" s="516" t="s">
        <v>659</v>
      </c>
      <c r="BQ4" s="516" t="s">
        <v>660</v>
      </c>
      <c r="BR4" s="516" t="s">
        <v>661</v>
      </c>
      <c r="BS4" s="516" t="s">
        <v>662</v>
      </c>
      <c r="BT4" s="516" t="s">
        <v>663</v>
      </c>
      <c r="BU4" s="516" t="s">
        <v>664</v>
      </c>
      <c r="BV4" s="516" t="s">
        <v>665</v>
      </c>
      <c r="BW4" s="517" t="s">
        <v>666</v>
      </c>
      <c r="BX4" s="515" t="s">
        <v>658</v>
      </c>
      <c r="BY4" s="516" t="s">
        <v>659</v>
      </c>
      <c r="BZ4" s="516" t="s">
        <v>660</v>
      </c>
      <c r="CA4" s="516" t="s">
        <v>661</v>
      </c>
      <c r="CB4" s="516" t="s">
        <v>662</v>
      </c>
      <c r="CC4" s="516" t="s">
        <v>663</v>
      </c>
      <c r="CD4" s="516" t="s">
        <v>664</v>
      </c>
      <c r="CE4" s="516" t="s">
        <v>665</v>
      </c>
      <c r="CF4" s="517" t="s">
        <v>666</v>
      </c>
      <c r="CG4" s="515" t="s">
        <v>658</v>
      </c>
      <c r="CH4" s="516" t="s">
        <v>659</v>
      </c>
      <c r="CI4" s="516" t="s">
        <v>660</v>
      </c>
      <c r="CJ4" s="516" t="s">
        <v>661</v>
      </c>
      <c r="CK4" s="516" t="s">
        <v>662</v>
      </c>
      <c r="CL4" s="516" t="s">
        <v>663</v>
      </c>
      <c r="CM4" s="516" t="s">
        <v>664</v>
      </c>
      <c r="CN4" s="516" t="s">
        <v>665</v>
      </c>
      <c r="CO4" s="517" t="s">
        <v>666</v>
      </c>
      <c r="CP4" s="515" t="s">
        <v>658</v>
      </c>
      <c r="CQ4" s="516" t="s">
        <v>659</v>
      </c>
      <c r="CR4" s="516" t="s">
        <v>660</v>
      </c>
      <c r="CS4" s="516" t="s">
        <v>661</v>
      </c>
      <c r="CT4" s="516" t="s">
        <v>662</v>
      </c>
      <c r="CU4" s="516" t="s">
        <v>663</v>
      </c>
      <c r="CV4" s="516" t="s">
        <v>664</v>
      </c>
      <c r="CW4" s="516" t="s">
        <v>665</v>
      </c>
      <c r="CX4" s="517" t="s">
        <v>666</v>
      </c>
      <c r="CY4" s="515" t="s">
        <v>658</v>
      </c>
      <c r="CZ4" s="516" t="s">
        <v>659</v>
      </c>
      <c r="DA4" s="516" t="s">
        <v>660</v>
      </c>
      <c r="DB4" s="516" t="s">
        <v>661</v>
      </c>
      <c r="DC4" s="516" t="s">
        <v>662</v>
      </c>
      <c r="DD4" s="516" t="s">
        <v>663</v>
      </c>
      <c r="DE4" s="516" t="s">
        <v>664</v>
      </c>
      <c r="DF4" s="516" t="s">
        <v>665</v>
      </c>
      <c r="DG4" s="517" t="s">
        <v>666</v>
      </c>
      <c r="DH4" s="515" t="s">
        <v>658</v>
      </c>
      <c r="DI4" s="516" t="s">
        <v>659</v>
      </c>
      <c r="DJ4" s="516" t="s">
        <v>660</v>
      </c>
      <c r="DK4" s="516" t="s">
        <v>661</v>
      </c>
      <c r="DL4" s="516" t="s">
        <v>662</v>
      </c>
      <c r="DM4" s="516" t="s">
        <v>663</v>
      </c>
      <c r="DN4" s="516" t="s">
        <v>664</v>
      </c>
      <c r="DO4" s="516" t="s">
        <v>665</v>
      </c>
      <c r="DP4" s="517" t="s">
        <v>666</v>
      </c>
      <c r="DQ4" s="515" t="s">
        <v>658</v>
      </c>
      <c r="DR4" s="516" t="s">
        <v>659</v>
      </c>
      <c r="DS4" s="516" t="s">
        <v>660</v>
      </c>
      <c r="DT4" s="516" t="s">
        <v>661</v>
      </c>
      <c r="DU4" s="516" t="s">
        <v>662</v>
      </c>
      <c r="DV4" s="516" t="s">
        <v>663</v>
      </c>
      <c r="DW4" s="516" t="s">
        <v>664</v>
      </c>
      <c r="DX4" s="516" t="s">
        <v>665</v>
      </c>
      <c r="DY4" s="517" t="s">
        <v>666</v>
      </c>
      <c r="DZ4" s="515" t="s">
        <v>658</v>
      </c>
      <c r="EA4" s="516" t="s">
        <v>659</v>
      </c>
      <c r="EB4" s="516" t="s">
        <v>660</v>
      </c>
      <c r="EC4" s="516" t="s">
        <v>661</v>
      </c>
      <c r="ED4" s="516" t="s">
        <v>662</v>
      </c>
      <c r="EE4" s="516" t="s">
        <v>663</v>
      </c>
      <c r="EF4" s="516" t="s">
        <v>664</v>
      </c>
      <c r="EG4" s="516" t="s">
        <v>665</v>
      </c>
      <c r="EH4" s="517" t="s">
        <v>666</v>
      </c>
      <c r="EI4" s="515" t="s">
        <v>658</v>
      </c>
      <c r="EJ4" s="516" t="s">
        <v>659</v>
      </c>
      <c r="EK4" s="516" t="s">
        <v>660</v>
      </c>
      <c r="EL4" s="516" t="s">
        <v>661</v>
      </c>
      <c r="EM4" s="516" t="s">
        <v>662</v>
      </c>
      <c r="EN4" s="516" t="s">
        <v>663</v>
      </c>
      <c r="EO4" s="516" t="s">
        <v>664</v>
      </c>
      <c r="EP4" s="516" t="s">
        <v>665</v>
      </c>
      <c r="EQ4" s="517" t="s">
        <v>666</v>
      </c>
      <c r="ER4" s="515" t="s">
        <v>658</v>
      </c>
      <c r="ES4" s="516" t="s">
        <v>659</v>
      </c>
      <c r="ET4" s="516" t="s">
        <v>660</v>
      </c>
      <c r="EU4" s="516" t="s">
        <v>661</v>
      </c>
      <c r="EV4" s="516" t="s">
        <v>662</v>
      </c>
      <c r="EW4" s="516" t="s">
        <v>663</v>
      </c>
      <c r="EX4" s="516" t="s">
        <v>664</v>
      </c>
      <c r="EY4" s="516" t="s">
        <v>665</v>
      </c>
      <c r="EZ4" s="517" t="s">
        <v>666</v>
      </c>
      <c r="FA4" s="515" t="s">
        <v>658</v>
      </c>
      <c r="FB4" s="516" t="s">
        <v>659</v>
      </c>
      <c r="FC4" s="516" t="s">
        <v>660</v>
      </c>
      <c r="FD4" s="516" t="s">
        <v>661</v>
      </c>
      <c r="FE4" s="516" t="s">
        <v>662</v>
      </c>
      <c r="FF4" s="516" t="s">
        <v>663</v>
      </c>
      <c r="FG4" s="516" t="s">
        <v>664</v>
      </c>
      <c r="FH4" s="516" t="s">
        <v>665</v>
      </c>
      <c r="FI4" s="517" t="s">
        <v>666</v>
      </c>
      <c r="FJ4" s="515" t="s">
        <v>658</v>
      </c>
      <c r="FK4" s="516" t="s">
        <v>659</v>
      </c>
      <c r="FL4" s="516" t="s">
        <v>660</v>
      </c>
      <c r="FM4" s="516" t="s">
        <v>661</v>
      </c>
      <c r="FN4" s="516" t="s">
        <v>662</v>
      </c>
      <c r="FO4" s="516" t="s">
        <v>663</v>
      </c>
      <c r="FP4" s="516" t="s">
        <v>664</v>
      </c>
      <c r="FQ4" s="516" t="s">
        <v>665</v>
      </c>
      <c r="FR4" s="517" t="s">
        <v>666</v>
      </c>
      <c r="FS4" s="515" t="s">
        <v>658</v>
      </c>
      <c r="FT4" s="516" t="s">
        <v>659</v>
      </c>
      <c r="FU4" s="516" t="s">
        <v>660</v>
      </c>
      <c r="FV4" s="516" t="s">
        <v>661</v>
      </c>
      <c r="FW4" s="516" t="s">
        <v>662</v>
      </c>
      <c r="FX4" s="516" t="s">
        <v>663</v>
      </c>
      <c r="FY4" s="516" t="s">
        <v>664</v>
      </c>
      <c r="FZ4" s="516" t="s">
        <v>665</v>
      </c>
      <c r="GA4" s="517" t="s">
        <v>666</v>
      </c>
      <c r="GB4" s="515" t="s">
        <v>658</v>
      </c>
      <c r="GC4" s="516" t="s">
        <v>659</v>
      </c>
      <c r="GD4" s="516" t="s">
        <v>660</v>
      </c>
      <c r="GE4" s="516" t="s">
        <v>661</v>
      </c>
      <c r="GF4" s="516" t="s">
        <v>662</v>
      </c>
      <c r="GG4" s="516" t="s">
        <v>663</v>
      </c>
      <c r="GH4" s="516" t="s">
        <v>664</v>
      </c>
      <c r="GI4" s="516" t="s">
        <v>665</v>
      </c>
      <c r="GJ4" s="517" t="s">
        <v>666</v>
      </c>
      <c r="GK4" s="515" t="s">
        <v>658</v>
      </c>
      <c r="GL4" s="516" t="s">
        <v>659</v>
      </c>
      <c r="GM4" s="516" t="s">
        <v>660</v>
      </c>
      <c r="GN4" s="516" t="s">
        <v>661</v>
      </c>
      <c r="GO4" s="516" t="s">
        <v>662</v>
      </c>
      <c r="GP4" s="516" t="s">
        <v>663</v>
      </c>
      <c r="GQ4" s="516" t="s">
        <v>664</v>
      </c>
      <c r="GR4" s="516" t="s">
        <v>665</v>
      </c>
      <c r="GS4" s="517" t="s">
        <v>666</v>
      </c>
      <c r="GT4" s="515" t="s">
        <v>658</v>
      </c>
      <c r="GU4" s="516" t="s">
        <v>659</v>
      </c>
      <c r="GV4" s="516" t="s">
        <v>660</v>
      </c>
      <c r="GW4" s="516" t="s">
        <v>661</v>
      </c>
      <c r="GX4" s="516" t="s">
        <v>662</v>
      </c>
      <c r="GY4" s="516" t="s">
        <v>663</v>
      </c>
      <c r="GZ4" s="516" t="s">
        <v>664</v>
      </c>
      <c r="HA4" s="516" t="s">
        <v>665</v>
      </c>
      <c r="HB4" s="517" t="s">
        <v>666</v>
      </c>
      <c r="HC4" s="515" t="s">
        <v>658</v>
      </c>
      <c r="HD4" s="516" t="s">
        <v>659</v>
      </c>
      <c r="HE4" s="516" t="s">
        <v>660</v>
      </c>
      <c r="HF4" s="516" t="s">
        <v>661</v>
      </c>
      <c r="HG4" s="516" t="s">
        <v>662</v>
      </c>
      <c r="HH4" s="516" t="s">
        <v>663</v>
      </c>
      <c r="HI4" s="516" t="s">
        <v>664</v>
      </c>
      <c r="HJ4" s="516" t="s">
        <v>665</v>
      </c>
      <c r="HK4" s="517" t="s">
        <v>666</v>
      </c>
      <c r="HL4" s="515" t="s">
        <v>658</v>
      </c>
      <c r="HM4" s="516" t="s">
        <v>659</v>
      </c>
      <c r="HN4" s="516" t="s">
        <v>660</v>
      </c>
      <c r="HO4" s="516" t="s">
        <v>661</v>
      </c>
      <c r="HP4" s="516" t="s">
        <v>662</v>
      </c>
      <c r="HQ4" s="516" t="s">
        <v>663</v>
      </c>
      <c r="HR4" s="516" t="s">
        <v>664</v>
      </c>
      <c r="HS4" s="516" t="s">
        <v>665</v>
      </c>
      <c r="HT4" s="517" t="s">
        <v>666</v>
      </c>
      <c r="HU4" s="515" t="s">
        <v>658</v>
      </c>
      <c r="HV4" s="516" t="s">
        <v>659</v>
      </c>
      <c r="HW4" s="516" t="s">
        <v>660</v>
      </c>
      <c r="HX4" s="516" t="s">
        <v>661</v>
      </c>
      <c r="HY4" s="516" t="s">
        <v>662</v>
      </c>
      <c r="HZ4" s="516" t="s">
        <v>663</v>
      </c>
      <c r="IA4" s="516" t="s">
        <v>664</v>
      </c>
      <c r="IB4" s="516" t="s">
        <v>665</v>
      </c>
      <c r="IC4" s="517" t="s">
        <v>666</v>
      </c>
      <c r="ID4" s="515" t="s">
        <v>658</v>
      </c>
      <c r="IE4" s="516" t="s">
        <v>659</v>
      </c>
      <c r="IF4" s="516" t="s">
        <v>660</v>
      </c>
      <c r="IG4" s="516" t="s">
        <v>661</v>
      </c>
      <c r="IH4" s="516" t="s">
        <v>662</v>
      </c>
      <c r="II4" s="516" t="s">
        <v>663</v>
      </c>
      <c r="IJ4" s="516" t="s">
        <v>664</v>
      </c>
      <c r="IK4" s="516" t="s">
        <v>665</v>
      </c>
      <c r="IL4" s="517" t="s">
        <v>666</v>
      </c>
      <c r="IM4" s="515" t="s">
        <v>658</v>
      </c>
      <c r="IN4" s="516" t="s">
        <v>659</v>
      </c>
      <c r="IO4" s="516" t="s">
        <v>660</v>
      </c>
      <c r="IP4" s="516" t="s">
        <v>661</v>
      </c>
      <c r="IQ4" s="516" t="s">
        <v>662</v>
      </c>
      <c r="IR4" s="516" t="s">
        <v>663</v>
      </c>
      <c r="IS4" s="516" t="s">
        <v>664</v>
      </c>
      <c r="IT4" s="516" t="s">
        <v>665</v>
      </c>
      <c r="IU4" s="517" t="s">
        <v>666</v>
      </c>
      <c r="IV4" s="515" t="s">
        <v>658</v>
      </c>
      <c r="IW4" s="516" t="s">
        <v>659</v>
      </c>
      <c r="IX4" s="516" t="s">
        <v>660</v>
      </c>
      <c r="IY4" s="516" t="s">
        <v>661</v>
      </c>
      <c r="IZ4" s="516" t="s">
        <v>662</v>
      </c>
      <c r="JA4" s="516" t="s">
        <v>663</v>
      </c>
      <c r="JB4" s="516" t="s">
        <v>664</v>
      </c>
      <c r="JC4" s="516" t="s">
        <v>665</v>
      </c>
      <c r="JD4" s="517" t="s">
        <v>666</v>
      </c>
      <c r="JE4" s="515" t="s">
        <v>658</v>
      </c>
      <c r="JF4" s="516" t="s">
        <v>659</v>
      </c>
      <c r="JG4" s="516" t="s">
        <v>660</v>
      </c>
      <c r="JH4" s="516" t="s">
        <v>661</v>
      </c>
      <c r="JI4" s="516" t="s">
        <v>662</v>
      </c>
      <c r="JJ4" s="516" t="s">
        <v>663</v>
      </c>
      <c r="JK4" s="516" t="s">
        <v>664</v>
      </c>
      <c r="JL4" s="516" t="s">
        <v>665</v>
      </c>
      <c r="JM4" s="517" t="s">
        <v>666</v>
      </c>
      <c r="JN4" s="515" t="s">
        <v>658</v>
      </c>
      <c r="JO4" s="516" t="s">
        <v>659</v>
      </c>
      <c r="JP4" s="516" t="s">
        <v>660</v>
      </c>
      <c r="JQ4" s="516" t="s">
        <v>661</v>
      </c>
      <c r="JR4" s="516" t="s">
        <v>662</v>
      </c>
      <c r="JS4" s="516" t="s">
        <v>663</v>
      </c>
      <c r="JT4" s="516" t="s">
        <v>664</v>
      </c>
      <c r="JU4" s="516" t="s">
        <v>665</v>
      </c>
      <c r="JV4" s="517" t="s">
        <v>666</v>
      </c>
      <c r="JW4" s="515" t="s">
        <v>658</v>
      </c>
      <c r="JX4" s="516" t="s">
        <v>659</v>
      </c>
      <c r="JY4" s="516" t="s">
        <v>660</v>
      </c>
      <c r="JZ4" s="516" t="s">
        <v>661</v>
      </c>
      <c r="KA4" s="516" t="s">
        <v>662</v>
      </c>
      <c r="KB4" s="516" t="s">
        <v>663</v>
      </c>
      <c r="KC4" s="516" t="s">
        <v>664</v>
      </c>
      <c r="KD4" s="516" t="s">
        <v>665</v>
      </c>
      <c r="KE4" s="517" t="s">
        <v>666</v>
      </c>
      <c r="KF4" s="515" t="s">
        <v>658</v>
      </c>
      <c r="KG4" s="516" t="s">
        <v>659</v>
      </c>
      <c r="KH4" s="516" t="s">
        <v>660</v>
      </c>
      <c r="KI4" s="516" t="s">
        <v>661</v>
      </c>
      <c r="KJ4" s="516" t="s">
        <v>662</v>
      </c>
      <c r="KK4" s="516" t="s">
        <v>663</v>
      </c>
      <c r="KL4" s="516" t="s">
        <v>664</v>
      </c>
      <c r="KM4" s="516" t="s">
        <v>665</v>
      </c>
      <c r="KN4" s="517" t="s">
        <v>666</v>
      </c>
      <c r="KO4" s="515" t="s">
        <v>658</v>
      </c>
      <c r="KP4" s="516" t="s">
        <v>659</v>
      </c>
      <c r="KQ4" s="516" t="s">
        <v>660</v>
      </c>
      <c r="KR4" s="516" t="s">
        <v>661</v>
      </c>
      <c r="KS4" s="516" t="s">
        <v>662</v>
      </c>
      <c r="KT4" s="516" t="s">
        <v>663</v>
      </c>
      <c r="KU4" s="516" t="s">
        <v>664</v>
      </c>
      <c r="KV4" s="516" t="s">
        <v>665</v>
      </c>
      <c r="KW4" s="517" t="s">
        <v>666</v>
      </c>
      <c r="KX4" s="515" t="s">
        <v>658</v>
      </c>
      <c r="KY4" s="516" t="s">
        <v>659</v>
      </c>
      <c r="KZ4" s="516" t="s">
        <v>660</v>
      </c>
      <c r="LA4" s="516" t="s">
        <v>661</v>
      </c>
      <c r="LB4" s="516" t="s">
        <v>662</v>
      </c>
      <c r="LC4" s="516" t="s">
        <v>663</v>
      </c>
      <c r="LD4" s="516" t="s">
        <v>664</v>
      </c>
      <c r="LE4" s="516" t="s">
        <v>665</v>
      </c>
      <c r="LF4" s="517" t="s">
        <v>666</v>
      </c>
      <c r="LG4" s="515" t="s">
        <v>658</v>
      </c>
      <c r="LH4" s="516" t="s">
        <v>659</v>
      </c>
      <c r="LI4" s="516" t="s">
        <v>660</v>
      </c>
      <c r="LJ4" s="516" t="s">
        <v>661</v>
      </c>
      <c r="LK4" s="516" t="s">
        <v>662</v>
      </c>
      <c r="LL4" s="516" t="s">
        <v>663</v>
      </c>
      <c r="LM4" s="516" t="s">
        <v>664</v>
      </c>
      <c r="LN4" s="516" t="s">
        <v>665</v>
      </c>
      <c r="LO4" s="517" t="s">
        <v>666</v>
      </c>
      <c r="LP4" s="515" t="s">
        <v>658</v>
      </c>
      <c r="LQ4" s="516" t="s">
        <v>659</v>
      </c>
      <c r="LR4" s="516" t="s">
        <v>660</v>
      </c>
      <c r="LS4" s="516" t="s">
        <v>661</v>
      </c>
      <c r="LT4" s="516" t="s">
        <v>662</v>
      </c>
      <c r="LU4" s="516" t="s">
        <v>663</v>
      </c>
      <c r="LV4" s="516" t="s">
        <v>664</v>
      </c>
      <c r="LW4" s="516" t="s">
        <v>665</v>
      </c>
      <c r="LX4" s="517" t="s">
        <v>666</v>
      </c>
      <c r="LY4" s="515" t="s">
        <v>658</v>
      </c>
      <c r="LZ4" s="516" t="s">
        <v>659</v>
      </c>
      <c r="MA4" s="516" t="s">
        <v>660</v>
      </c>
      <c r="MB4" s="516" t="s">
        <v>661</v>
      </c>
      <c r="MC4" s="516" t="s">
        <v>662</v>
      </c>
      <c r="MD4" s="516" t="s">
        <v>663</v>
      </c>
      <c r="ME4" s="516" t="s">
        <v>664</v>
      </c>
      <c r="MF4" s="516" t="s">
        <v>665</v>
      </c>
      <c r="MG4" s="517" t="s">
        <v>666</v>
      </c>
      <c r="MH4" s="515" t="s">
        <v>658</v>
      </c>
      <c r="MI4" s="516" t="s">
        <v>659</v>
      </c>
      <c r="MJ4" s="516" t="s">
        <v>660</v>
      </c>
      <c r="MK4" s="516" t="s">
        <v>661</v>
      </c>
      <c r="ML4" s="516" t="s">
        <v>662</v>
      </c>
      <c r="MM4" s="516" t="s">
        <v>663</v>
      </c>
      <c r="MN4" s="516" t="s">
        <v>664</v>
      </c>
      <c r="MO4" s="516" t="s">
        <v>665</v>
      </c>
      <c r="MP4" s="517" t="s">
        <v>666</v>
      </c>
      <c r="MQ4" s="515" t="s">
        <v>658</v>
      </c>
      <c r="MR4" s="516" t="s">
        <v>659</v>
      </c>
      <c r="MS4" s="516" t="s">
        <v>660</v>
      </c>
      <c r="MT4" s="516" t="s">
        <v>661</v>
      </c>
      <c r="MU4" s="516" t="s">
        <v>662</v>
      </c>
      <c r="MV4" s="516" t="s">
        <v>663</v>
      </c>
      <c r="MW4" s="516" t="s">
        <v>664</v>
      </c>
      <c r="MX4" s="516" t="s">
        <v>665</v>
      </c>
      <c r="MY4" s="517" t="s">
        <v>666</v>
      </c>
      <c r="MZ4" s="515" t="s">
        <v>658</v>
      </c>
      <c r="NA4" s="516" t="s">
        <v>659</v>
      </c>
      <c r="NB4" s="516" t="s">
        <v>660</v>
      </c>
      <c r="NC4" s="516" t="s">
        <v>661</v>
      </c>
      <c r="ND4" s="516" t="s">
        <v>662</v>
      </c>
      <c r="NE4" s="516" t="s">
        <v>663</v>
      </c>
      <c r="NF4" s="516" t="s">
        <v>664</v>
      </c>
      <c r="NG4" s="516" t="s">
        <v>665</v>
      </c>
      <c r="NH4" s="517" t="s">
        <v>666</v>
      </c>
      <c r="NI4" s="515" t="s">
        <v>658</v>
      </c>
      <c r="NJ4" s="516" t="s">
        <v>659</v>
      </c>
      <c r="NK4" s="516" t="s">
        <v>660</v>
      </c>
      <c r="NL4" s="516" t="s">
        <v>661</v>
      </c>
      <c r="NM4" s="516" t="s">
        <v>662</v>
      </c>
      <c r="NN4" s="516" t="s">
        <v>663</v>
      </c>
      <c r="NO4" s="516" t="s">
        <v>664</v>
      </c>
      <c r="NP4" s="516" t="s">
        <v>665</v>
      </c>
      <c r="NQ4" s="517" t="s">
        <v>666</v>
      </c>
      <c r="NR4" s="515" t="s">
        <v>658</v>
      </c>
      <c r="NS4" s="516" t="s">
        <v>659</v>
      </c>
      <c r="NT4" s="516" t="s">
        <v>660</v>
      </c>
      <c r="NU4" s="516" t="s">
        <v>661</v>
      </c>
      <c r="NV4" s="516" t="s">
        <v>662</v>
      </c>
      <c r="NW4" s="516" t="s">
        <v>663</v>
      </c>
      <c r="NX4" s="516" t="s">
        <v>664</v>
      </c>
      <c r="NY4" s="516" t="s">
        <v>665</v>
      </c>
      <c r="NZ4" s="517" t="s">
        <v>666</v>
      </c>
      <c r="OA4" s="515" t="s">
        <v>658</v>
      </c>
      <c r="OB4" s="516" t="s">
        <v>659</v>
      </c>
      <c r="OC4" s="516" t="s">
        <v>660</v>
      </c>
      <c r="OD4" s="516" t="s">
        <v>661</v>
      </c>
      <c r="OE4" s="516" t="s">
        <v>662</v>
      </c>
      <c r="OF4" s="516" t="s">
        <v>663</v>
      </c>
      <c r="OG4" s="516" t="s">
        <v>664</v>
      </c>
      <c r="OH4" s="516" t="s">
        <v>665</v>
      </c>
      <c r="OI4" s="517" t="s">
        <v>666</v>
      </c>
      <c r="OJ4" s="515" t="s">
        <v>658</v>
      </c>
      <c r="OK4" s="516" t="s">
        <v>659</v>
      </c>
      <c r="OL4" s="516" t="s">
        <v>660</v>
      </c>
      <c r="OM4" s="516" t="s">
        <v>661</v>
      </c>
      <c r="ON4" s="516" t="s">
        <v>662</v>
      </c>
      <c r="OO4" s="516" t="s">
        <v>663</v>
      </c>
      <c r="OP4" s="516" t="s">
        <v>664</v>
      </c>
      <c r="OQ4" s="516" t="s">
        <v>665</v>
      </c>
      <c r="OR4" s="517" t="s">
        <v>666</v>
      </c>
      <c r="OS4" s="515" t="s">
        <v>658</v>
      </c>
      <c r="OT4" s="516" t="s">
        <v>659</v>
      </c>
      <c r="OU4" s="516" t="s">
        <v>660</v>
      </c>
      <c r="OV4" s="516" t="s">
        <v>661</v>
      </c>
      <c r="OW4" s="516" t="s">
        <v>662</v>
      </c>
      <c r="OX4" s="516" t="s">
        <v>663</v>
      </c>
      <c r="OY4" s="516" t="s">
        <v>664</v>
      </c>
      <c r="OZ4" s="516" t="s">
        <v>665</v>
      </c>
      <c r="PA4" s="517" t="s">
        <v>666</v>
      </c>
      <c r="PB4" s="515" t="s">
        <v>658</v>
      </c>
      <c r="PC4" s="516" t="s">
        <v>659</v>
      </c>
      <c r="PD4" s="516" t="s">
        <v>660</v>
      </c>
      <c r="PE4" s="516" t="s">
        <v>661</v>
      </c>
      <c r="PF4" s="516" t="s">
        <v>662</v>
      </c>
      <c r="PG4" s="516" t="s">
        <v>663</v>
      </c>
      <c r="PH4" s="516" t="s">
        <v>664</v>
      </c>
      <c r="PI4" s="516" t="s">
        <v>665</v>
      </c>
      <c r="PJ4" s="517" t="s">
        <v>666</v>
      </c>
      <c r="PK4" s="515" t="s">
        <v>658</v>
      </c>
      <c r="PL4" s="516" t="s">
        <v>659</v>
      </c>
      <c r="PM4" s="516" t="s">
        <v>660</v>
      </c>
      <c r="PN4" s="516" t="s">
        <v>661</v>
      </c>
      <c r="PO4" s="516" t="s">
        <v>662</v>
      </c>
      <c r="PP4" s="516" t="s">
        <v>663</v>
      </c>
      <c r="PQ4" s="516" t="s">
        <v>664</v>
      </c>
      <c r="PR4" s="516" t="s">
        <v>665</v>
      </c>
      <c r="PS4" s="517" t="s">
        <v>666</v>
      </c>
      <c r="PT4" s="515" t="s">
        <v>658</v>
      </c>
      <c r="PU4" s="516" t="s">
        <v>659</v>
      </c>
      <c r="PV4" s="516" t="s">
        <v>660</v>
      </c>
      <c r="PW4" s="516" t="s">
        <v>661</v>
      </c>
      <c r="PX4" s="516" t="s">
        <v>662</v>
      </c>
      <c r="PY4" s="516" t="s">
        <v>663</v>
      </c>
      <c r="PZ4" s="516" t="s">
        <v>664</v>
      </c>
      <c r="QA4" s="516" t="s">
        <v>665</v>
      </c>
      <c r="QB4" s="517" t="s">
        <v>666</v>
      </c>
      <c r="QC4" s="515" t="s">
        <v>658</v>
      </c>
      <c r="QD4" s="516" t="s">
        <v>659</v>
      </c>
      <c r="QE4" s="516" t="s">
        <v>660</v>
      </c>
      <c r="QF4" s="516" t="s">
        <v>661</v>
      </c>
      <c r="QG4" s="516" t="s">
        <v>662</v>
      </c>
      <c r="QH4" s="516" t="s">
        <v>663</v>
      </c>
      <c r="QI4" s="516" t="s">
        <v>664</v>
      </c>
      <c r="QJ4" s="516" t="s">
        <v>665</v>
      </c>
      <c r="QK4" s="517" t="s">
        <v>666</v>
      </c>
      <c r="QL4" s="515" t="s">
        <v>658</v>
      </c>
      <c r="QM4" s="516" t="s">
        <v>659</v>
      </c>
      <c r="QN4" s="516" t="s">
        <v>660</v>
      </c>
      <c r="QO4" s="516" t="s">
        <v>661</v>
      </c>
      <c r="QP4" s="516" t="s">
        <v>662</v>
      </c>
      <c r="QQ4" s="516" t="s">
        <v>663</v>
      </c>
      <c r="QR4" s="516" t="s">
        <v>664</v>
      </c>
      <c r="QS4" s="516" t="s">
        <v>665</v>
      </c>
      <c r="QT4" s="517" t="s">
        <v>666</v>
      </c>
      <c r="QU4" s="515" t="s">
        <v>658</v>
      </c>
      <c r="QV4" s="516" t="s">
        <v>659</v>
      </c>
      <c r="QW4" s="516" t="s">
        <v>660</v>
      </c>
      <c r="QX4" s="516" t="s">
        <v>661</v>
      </c>
      <c r="QY4" s="516" t="s">
        <v>662</v>
      </c>
      <c r="QZ4" s="516" t="s">
        <v>663</v>
      </c>
      <c r="RA4" s="516" t="s">
        <v>664</v>
      </c>
      <c r="RB4" s="516" t="s">
        <v>665</v>
      </c>
      <c r="RC4" s="517" t="s">
        <v>666</v>
      </c>
      <c r="RD4" s="515" t="s">
        <v>658</v>
      </c>
      <c r="RE4" s="516" t="s">
        <v>659</v>
      </c>
      <c r="RF4" s="516" t="s">
        <v>660</v>
      </c>
      <c r="RG4" s="516" t="s">
        <v>661</v>
      </c>
      <c r="RH4" s="516" t="s">
        <v>662</v>
      </c>
      <c r="RI4" s="516" t="s">
        <v>663</v>
      </c>
      <c r="RJ4" s="516" t="s">
        <v>664</v>
      </c>
      <c r="RK4" s="516" t="s">
        <v>665</v>
      </c>
      <c r="RL4" s="517" t="s">
        <v>666</v>
      </c>
      <c r="RM4" s="515" t="s">
        <v>658</v>
      </c>
      <c r="RN4" s="516" t="s">
        <v>659</v>
      </c>
      <c r="RO4" s="516" t="s">
        <v>660</v>
      </c>
      <c r="RP4" s="516" t="s">
        <v>661</v>
      </c>
      <c r="RQ4" s="516" t="s">
        <v>662</v>
      </c>
      <c r="RR4" s="516" t="s">
        <v>663</v>
      </c>
      <c r="RS4" s="516" t="s">
        <v>664</v>
      </c>
      <c r="RT4" s="516" t="s">
        <v>665</v>
      </c>
      <c r="RU4" s="517" t="s">
        <v>666</v>
      </c>
      <c r="RV4" s="515" t="s">
        <v>658</v>
      </c>
      <c r="RW4" s="516" t="s">
        <v>659</v>
      </c>
      <c r="RX4" s="516" t="s">
        <v>660</v>
      </c>
      <c r="RY4" s="516" t="s">
        <v>661</v>
      </c>
      <c r="RZ4" s="516" t="s">
        <v>662</v>
      </c>
      <c r="SA4" s="516" t="s">
        <v>663</v>
      </c>
      <c r="SB4" s="516" t="s">
        <v>664</v>
      </c>
      <c r="SC4" s="516" t="s">
        <v>665</v>
      </c>
      <c r="SD4" s="517" t="s">
        <v>666</v>
      </c>
      <c r="SE4" s="515" t="s">
        <v>658</v>
      </c>
      <c r="SF4" s="516" t="s">
        <v>659</v>
      </c>
      <c r="SG4" s="516" t="s">
        <v>660</v>
      </c>
      <c r="SH4" s="516" t="s">
        <v>661</v>
      </c>
      <c r="SI4" s="516" t="s">
        <v>662</v>
      </c>
      <c r="SJ4" s="516" t="s">
        <v>663</v>
      </c>
      <c r="SK4" s="516" t="s">
        <v>664</v>
      </c>
      <c r="SL4" s="516" t="s">
        <v>665</v>
      </c>
      <c r="SM4" s="517" t="s">
        <v>666</v>
      </c>
      <c r="SN4" s="515" t="s">
        <v>658</v>
      </c>
      <c r="SO4" s="516" t="s">
        <v>659</v>
      </c>
      <c r="SP4" s="516" t="s">
        <v>660</v>
      </c>
      <c r="SQ4" s="516" t="s">
        <v>661</v>
      </c>
      <c r="SR4" s="516" t="s">
        <v>662</v>
      </c>
      <c r="SS4" s="516" t="s">
        <v>663</v>
      </c>
      <c r="ST4" s="516" t="s">
        <v>664</v>
      </c>
      <c r="SU4" s="516" t="s">
        <v>665</v>
      </c>
      <c r="SV4" s="517" t="s">
        <v>666</v>
      </c>
      <c r="SW4" s="515" t="s">
        <v>658</v>
      </c>
      <c r="SX4" s="516" t="s">
        <v>659</v>
      </c>
      <c r="SY4" s="516" t="s">
        <v>660</v>
      </c>
      <c r="SZ4" s="516" t="s">
        <v>661</v>
      </c>
      <c r="TA4" s="516" t="s">
        <v>662</v>
      </c>
      <c r="TB4" s="516" t="s">
        <v>663</v>
      </c>
      <c r="TC4" s="516" t="s">
        <v>664</v>
      </c>
      <c r="TD4" s="518" t="s">
        <v>665</v>
      </c>
      <c r="TE4" s="517" t="s">
        <v>666</v>
      </c>
      <c r="TF4" s="519" t="s">
        <v>182</v>
      </c>
      <c r="TG4" s="520"/>
      <c r="TH4" s="514"/>
      <c r="TI4" s="521" t="s">
        <v>667</v>
      </c>
      <c r="TJ4" s="522" t="s">
        <v>668</v>
      </c>
      <c r="TK4" s="515" t="s">
        <v>669</v>
      </c>
      <c r="TL4" s="516" t="s">
        <v>670</v>
      </c>
      <c r="TM4" s="516" t="s">
        <v>671</v>
      </c>
      <c r="TN4" s="516" t="s">
        <v>672</v>
      </c>
      <c r="TO4" s="516" t="s">
        <v>673</v>
      </c>
      <c r="TP4" s="516" t="s">
        <v>674</v>
      </c>
      <c r="TQ4" s="516" t="s">
        <v>675</v>
      </c>
      <c r="TR4" s="516" t="s">
        <v>676</v>
      </c>
      <c r="TS4" s="516" t="s">
        <v>677</v>
      </c>
      <c r="TT4" s="517" t="s">
        <v>660</v>
      </c>
      <c r="TU4" s="515" t="s">
        <v>669</v>
      </c>
      <c r="TV4" s="516" t="s">
        <v>670</v>
      </c>
      <c r="TW4" s="516" t="s">
        <v>671</v>
      </c>
      <c r="TX4" s="516" t="s">
        <v>672</v>
      </c>
      <c r="TY4" s="516" t="s">
        <v>673</v>
      </c>
      <c r="TZ4" s="516" t="s">
        <v>674</v>
      </c>
      <c r="UA4" s="516" t="s">
        <v>675</v>
      </c>
      <c r="UB4" s="516" t="s">
        <v>676</v>
      </c>
      <c r="UC4" s="516" t="s">
        <v>677</v>
      </c>
      <c r="UD4" s="515" t="s">
        <v>669</v>
      </c>
      <c r="UE4" s="516" t="s">
        <v>670</v>
      </c>
      <c r="UF4" s="516" t="s">
        <v>671</v>
      </c>
      <c r="UG4" s="516" t="s">
        <v>337</v>
      </c>
      <c r="UH4" s="516" t="s">
        <v>673</v>
      </c>
      <c r="UI4" s="516" t="s">
        <v>674</v>
      </c>
      <c r="UJ4" s="516" t="s">
        <v>675</v>
      </c>
      <c r="UK4" s="516" t="s">
        <v>676</v>
      </c>
      <c r="UL4" s="516" t="s">
        <v>677</v>
      </c>
      <c r="UM4" s="523" t="s">
        <v>678</v>
      </c>
      <c r="UN4" s="524" t="s">
        <v>679</v>
      </c>
      <c r="UO4" s="525" t="s">
        <v>669</v>
      </c>
      <c r="UP4" s="516" t="s">
        <v>670</v>
      </c>
      <c r="UQ4" s="516" t="s">
        <v>671</v>
      </c>
      <c r="UR4" s="516" t="s">
        <v>337</v>
      </c>
      <c r="US4" s="516" t="s">
        <v>673</v>
      </c>
      <c r="UT4" s="516" t="s">
        <v>674</v>
      </c>
      <c r="UU4" s="516" t="s">
        <v>675</v>
      </c>
      <c r="UV4" s="516" t="s">
        <v>676</v>
      </c>
      <c r="UW4" s="518" t="s">
        <v>677</v>
      </c>
      <c r="UX4" s="526" t="s">
        <v>660</v>
      </c>
      <c r="UY4" s="515" t="s">
        <v>680</v>
      </c>
      <c r="UZ4" s="517" t="s">
        <v>681</v>
      </c>
      <c r="VB4" s="514"/>
      <c r="VC4" s="515" t="s">
        <v>226</v>
      </c>
      <c r="VD4" s="516" t="s">
        <v>682</v>
      </c>
      <c r="VE4" s="517" t="s">
        <v>623</v>
      </c>
    </row>
    <row r="5" spans="1:577" s="491" customFormat="1">
      <c r="D5" s="293" t="s">
        <v>341</v>
      </c>
      <c r="E5" s="527" t="s">
        <v>1132</v>
      </c>
      <c r="F5" s="535" t="s">
        <v>683</v>
      </c>
      <c r="G5" s="491" t="s">
        <v>684</v>
      </c>
      <c r="H5" s="293" t="s">
        <v>342</v>
      </c>
      <c r="I5" s="293"/>
      <c r="J5" s="851"/>
      <c r="K5" s="293"/>
      <c r="L5" s="293"/>
      <c r="M5" s="528" t="s">
        <v>343</v>
      </c>
      <c r="N5" s="293" t="s">
        <v>371</v>
      </c>
      <c r="O5" s="293" t="s">
        <v>399</v>
      </c>
      <c r="P5" s="293" t="s">
        <v>427</v>
      </c>
      <c r="Q5" s="293" t="s">
        <v>455</v>
      </c>
      <c r="R5" s="293" t="s">
        <v>483</v>
      </c>
      <c r="S5" s="293" t="s">
        <v>511</v>
      </c>
      <c r="T5" s="293" t="s">
        <v>539</v>
      </c>
      <c r="U5" s="293" t="s">
        <v>567</v>
      </c>
      <c r="V5" s="528" t="s">
        <v>344</v>
      </c>
      <c r="W5" s="293" t="s">
        <v>372</v>
      </c>
      <c r="X5" s="293" t="s">
        <v>400</v>
      </c>
      <c r="Y5" s="293" t="s">
        <v>428</v>
      </c>
      <c r="Z5" s="293" t="s">
        <v>456</v>
      </c>
      <c r="AA5" s="293" t="s">
        <v>484</v>
      </c>
      <c r="AB5" s="293" t="s">
        <v>512</v>
      </c>
      <c r="AC5" s="293" t="s">
        <v>540</v>
      </c>
      <c r="AD5" s="293" t="s">
        <v>568</v>
      </c>
      <c r="AE5" s="528" t="s">
        <v>345</v>
      </c>
      <c r="AF5" s="293" t="s">
        <v>373</v>
      </c>
      <c r="AG5" s="293" t="s">
        <v>401</v>
      </c>
      <c r="AH5" s="293" t="s">
        <v>429</v>
      </c>
      <c r="AI5" s="293" t="s">
        <v>457</v>
      </c>
      <c r="AJ5" s="293" t="s">
        <v>485</v>
      </c>
      <c r="AK5" s="293" t="s">
        <v>513</v>
      </c>
      <c r="AL5" s="293" t="s">
        <v>541</v>
      </c>
      <c r="AM5" s="293" t="s">
        <v>569</v>
      </c>
      <c r="AN5" s="528" t="s">
        <v>346</v>
      </c>
      <c r="AO5" s="293" t="s">
        <v>374</v>
      </c>
      <c r="AP5" s="293" t="s">
        <v>402</v>
      </c>
      <c r="AQ5" s="293" t="s">
        <v>430</v>
      </c>
      <c r="AR5" s="293" t="s">
        <v>458</v>
      </c>
      <c r="AS5" s="293" t="s">
        <v>486</v>
      </c>
      <c r="AT5" s="293" t="s">
        <v>514</v>
      </c>
      <c r="AU5" s="293" t="s">
        <v>542</v>
      </c>
      <c r="AV5" s="293" t="s">
        <v>570</v>
      </c>
      <c r="AW5" s="528" t="s">
        <v>347</v>
      </c>
      <c r="AX5" s="293" t="s">
        <v>375</v>
      </c>
      <c r="AY5" s="293" t="s">
        <v>403</v>
      </c>
      <c r="AZ5" s="293" t="s">
        <v>431</v>
      </c>
      <c r="BA5" s="293" t="s">
        <v>459</v>
      </c>
      <c r="BB5" s="293" t="s">
        <v>487</v>
      </c>
      <c r="BC5" s="293" t="s">
        <v>515</v>
      </c>
      <c r="BD5" s="293" t="s">
        <v>543</v>
      </c>
      <c r="BE5" s="293" t="s">
        <v>571</v>
      </c>
      <c r="BF5" s="528" t="s">
        <v>348</v>
      </c>
      <c r="BG5" s="293" t="s">
        <v>376</v>
      </c>
      <c r="BH5" s="293" t="s">
        <v>404</v>
      </c>
      <c r="BI5" s="293" t="s">
        <v>432</v>
      </c>
      <c r="BJ5" s="293" t="s">
        <v>460</v>
      </c>
      <c r="BK5" s="293" t="s">
        <v>488</v>
      </c>
      <c r="BL5" s="293" t="s">
        <v>516</v>
      </c>
      <c r="BM5" s="293" t="s">
        <v>544</v>
      </c>
      <c r="BN5" s="293" t="s">
        <v>572</v>
      </c>
      <c r="BO5" s="528" t="s">
        <v>349</v>
      </c>
      <c r="BP5" s="293" t="s">
        <v>377</v>
      </c>
      <c r="BQ5" s="293" t="s">
        <v>405</v>
      </c>
      <c r="BR5" s="293" t="s">
        <v>433</v>
      </c>
      <c r="BS5" s="293" t="s">
        <v>461</v>
      </c>
      <c r="BT5" s="293" t="s">
        <v>489</v>
      </c>
      <c r="BU5" s="293" t="s">
        <v>517</v>
      </c>
      <c r="BV5" s="293" t="s">
        <v>545</v>
      </c>
      <c r="BW5" s="293" t="s">
        <v>573</v>
      </c>
      <c r="BX5" s="528" t="s">
        <v>685</v>
      </c>
      <c r="BY5" s="293" t="s">
        <v>686</v>
      </c>
      <c r="BZ5" s="293" t="s">
        <v>687</v>
      </c>
      <c r="CA5" s="293" t="s">
        <v>688</v>
      </c>
      <c r="CB5" s="293" t="s">
        <v>689</v>
      </c>
      <c r="CC5" s="293" t="s">
        <v>690</v>
      </c>
      <c r="CD5" s="293" t="s">
        <v>691</v>
      </c>
      <c r="CE5" s="293" t="s">
        <v>692</v>
      </c>
      <c r="CF5" s="293" t="s">
        <v>693</v>
      </c>
      <c r="CG5" s="528" t="s">
        <v>694</v>
      </c>
      <c r="CH5" s="293" t="s">
        <v>695</v>
      </c>
      <c r="CI5" s="293" t="s">
        <v>696</v>
      </c>
      <c r="CJ5" s="293" t="s">
        <v>697</v>
      </c>
      <c r="CK5" s="293" t="s">
        <v>698</v>
      </c>
      <c r="CL5" s="293" t="s">
        <v>699</v>
      </c>
      <c r="CM5" s="293" t="s">
        <v>700</v>
      </c>
      <c r="CN5" s="293" t="s">
        <v>701</v>
      </c>
      <c r="CO5" s="293" t="s">
        <v>702</v>
      </c>
      <c r="CP5" s="528" t="s">
        <v>350</v>
      </c>
      <c r="CQ5" s="293" t="s">
        <v>378</v>
      </c>
      <c r="CR5" s="293" t="s">
        <v>406</v>
      </c>
      <c r="CS5" s="293" t="s">
        <v>434</v>
      </c>
      <c r="CT5" s="293" t="s">
        <v>462</v>
      </c>
      <c r="CU5" s="293" t="s">
        <v>490</v>
      </c>
      <c r="CV5" s="293" t="s">
        <v>518</v>
      </c>
      <c r="CW5" s="293" t="s">
        <v>546</v>
      </c>
      <c r="CX5" s="293" t="s">
        <v>574</v>
      </c>
      <c r="CY5" s="528" t="s">
        <v>351</v>
      </c>
      <c r="CZ5" s="293" t="s">
        <v>379</v>
      </c>
      <c r="DA5" s="293" t="s">
        <v>407</v>
      </c>
      <c r="DB5" s="293" t="s">
        <v>435</v>
      </c>
      <c r="DC5" s="293" t="s">
        <v>463</v>
      </c>
      <c r="DD5" s="293" t="s">
        <v>491</v>
      </c>
      <c r="DE5" s="293" t="s">
        <v>519</v>
      </c>
      <c r="DF5" s="293" t="s">
        <v>547</v>
      </c>
      <c r="DG5" s="293" t="s">
        <v>575</v>
      </c>
      <c r="DH5" s="528" t="s">
        <v>352</v>
      </c>
      <c r="DI5" s="293" t="s">
        <v>380</v>
      </c>
      <c r="DJ5" s="293" t="s">
        <v>408</v>
      </c>
      <c r="DK5" s="293" t="s">
        <v>436</v>
      </c>
      <c r="DL5" s="293" t="s">
        <v>464</v>
      </c>
      <c r="DM5" s="293" t="s">
        <v>492</v>
      </c>
      <c r="DN5" s="293" t="s">
        <v>520</v>
      </c>
      <c r="DO5" s="293" t="s">
        <v>548</v>
      </c>
      <c r="DP5" s="293" t="s">
        <v>576</v>
      </c>
      <c r="DQ5" s="528" t="s">
        <v>703</v>
      </c>
      <c r="DR5" s="293" t="s">
        <v>704</v>
      </c>
      <c r="DS5" s="293" t="s">
        <v>705</v>
      </c>
      <c r="DT5" s="293" t="s">
        <v>706</v>
      </c>
      <c r="DU5" s="293" t="s">
        <v>707</v>
      </c>
      <c r="DV5" s="293" t="s">
        <v>708</v>
      </c>
      <c r="DW5" s="293" t="s">
        <v>709</v>
      </c>
      <c r="DX5" s="293" t="s">
        <v>710</v>
      </c>
      <c r="DY5" s="293" t="s">
        <v>711</v>
      </c>
      <c r="DZ5" s="528" t="s">
        <v>712</v>
      </c>
      <c r="EA5" s="293" t="s">
        <v>713</v>
      </c>
      <c r="EB5" s="293" t="s">
        <v>714</v>
      </c>
      <c r="EC5" s="293" t="s">
        <v>715</v>
      </c>
      <c r="ED5" s="293" t="s">
        <v>716</v>
      </c>
      <c r="EE5" s="293" t="s">
        <v>717</v>
      </c>
      <c r="EF5" s="293" t="s">
        <v>718</v>
      </c>
      <c r="EG5" s="293" t="s">
        <v>719</v>
      </c>
      <c r="EH5" s="293" t="s">
        <v>720</v>
      </c>
      <c r="EI5" s="528" t="s">
        <v>721</v>
      </c>
      <c r="EJ5" s="293" t="s">
        <v>722</v>
      </c>
      <c r="EK5" s="293" t="s">
        <v>723</v>
      </c>
      <c r="EL5" s="293" t="s">
        <v>724</v>
      </c>
      <c r="EM5" s="293" t="s">
        <v>725</v>
      </c>
      <c r="EN5" s="293" t="s">
        <v>726</v>
      </c>
      <c r="EO5" s="293" t="s">
        <v>727</v>
      </c>
      <c r="EP5" s="293" t="s">
        <v>728</v>
      </c>
      <c r="EQ5" s="293" t="s">
        <v>729</v>
      </c>
      <c r="ER5" s="528" t="s">
        <v>730</v>
      </c>
      <c r="ES5" s="293" t="s">
        <v>731</v>
      </c>
      <c r="ET5" s="293" t="s">
        <v>732</v>
      </c>
      <c r="EU5" s="293" t="s">
        <v>733</v>
      </c>
      <c r="EV5" s="293" t="s">
        <v>734</v>
      </c>
      <c r="EW5" s="293" t="s">
        <v>735</v>
      </c>
      <c r="EX5" s="293" t="s">
        <v>736</v>
      </c>
      <c r="EY5" s="293" t="s">
        <v>737</v>
      </c>
      <c r="EZ5" s="293" t="s">
        <v>738</v>
      </c>
      <c r="FA5" s="528" t="s">
        <v>739</v>
      </c>
      <c r="FB5" s="293" t="s">
        <v>740</v>
      </c>
      <c r="FC5" s="293" t="s">
        <v>741</v>
      </c>
      <c r="FD5" s="293" t="s">
        <v>742</v>
      </c>
      <c r="FE5" s="293" t="s">
        <v>743</v>
      </c>
      <c r="FF5" s="293" t="s">
        <v>744</v>
      </c>
      <c r="FG5" s="293" t="s">
        <v>745</v>
      </c>
      <c r="FH5" s="293" t="s">
        <v>746</v>
      </c>
      <c r="FI5" s="293" t="s">
        <v>747</v>
      </c>
      <c r="FJ5" s="528" t="s">
        <v>353</v>
      </c>
      <c r="FK5" s="293" t="s">
        <v>381</v>
      </c>
      <c r="FL5" s="293" t="s">
        <v>409</v>
      </c>
      <c r="FM5" s="293" t="s">
        <v>437</v>
      </c>
      <c r="FN5" s="293" t="s">
        <v>465</v>
      </c>
      <c r="FO5" s="293" t="s">
        <v>493</v>
      </c>
      <c r="FP5" s="293" t="s">
        <v>521</v>
      </c>
      <c r="FQ5" s="293" t="s">
        <v>549</v>
      </c>
      <c r="FR5" s="293" t="s">
        <v>577</v>
      </c>
      <c r="FS5" s="528" t="s">
        <v>748</v>
      </c>
      <c r="FT5" s="293" t="s">
        <v>749</v>
      </c>
      <c r="FU5" s="293" t="s">
        <v>750</v>
      </c>
      <c r="FV5" s="293" t="s">
        <v>751</v>
      </c>
      <c r="FW5" s="293" t="s">
        <v>752</v>
      </c>
      <c r="FX5" s="293" t="s">
        <v>753</v>
      </c>
      <c r="FY5" s="293" t="s">
        <v>754</v>
      </c>
      <c r="FZ5" s="293" t="s">
        <v>755</v>
      </c>
      <c r="GA5" s="293" t="s">
        <v>756</v>
      </c>
      <c r="GB5" s="528" t="s">
        <v>757</v>
      </c>
      <c r="GC5" s="293" t="s">
        <v>758</v>
      </c>
      <c r="GD5" s="293" t="s">
        <v>759</v>
      </c>
      <c r="GE5" s="293" t="s">
        <v>760</v>
      </c>
      <c r="GF5" s="293" t="s">
        <v>761</v>
      </c>
      <c r="GG5" s="293" t="s">
        <v>762</v>
      </c>
      <c r="GH5" s="293" t="s">
        <v>763</v>
      </c>
      <c r="GI5" s="293" t="s">
        <v>764</v>
      </c>
      <c r="GJ5" s="293" t="s">
        <v>765</v>
      </c>
      <c r="GK5" s="528" t="s">
        <v>354</v>
      </c>
      <c r="GL5" s="293" t="s">
        <v>382</v>
      </c>
      <c r="GM5" s="293" t="s">
        <v>410</v>
      </c>
      <c r="GN5" s="293" t="s">
        <v>438</v>
      </c>
      <c r="GO5" s="293" t="s">
        <v>466</v>
      </c>
      <c r="GP5" s="293" t="s">
        <v>494</v>
      </c>
      <c r="GQ5" s="293" t="s">
        <v>522</v>
      </c>
      <c r="GR5" s="293" t="s">
        <v>550</v>
      </c>
      <c r="GS5" s="293" t="s">
        <v>578</v>
      </c>
      <c r="GT5" s="528" t="s">
        <v>766</v>
      </c>
      <c r="GU5" s="293" t="s">
        <v>767</v>
      </c>
      <c r="GV5" s="293" t="s">
        <v>768</v>
      </c>
      <c r="GW5" s="293" t="s">
        <v>769</v>
      </c>
      <c r="GX5" s="293" t="s">
        <v>770</v>
      </c>
      <c r="GY5" s="293" t="s">
        <v>771</v>
      </c>
      <c r="GZ5" s="293" t="s">
        <v>772</v>
      </c>
      <c r="HA5" s="293" t="s">
        <v>773</v>
      </c>
      <c r="HB5" s="293" t="s">
        <v>774</v>
      </c>
      <c r="HC5" s="528" t="s">
        <v>775</v>
      </c>
      <c r="HD5" s="293" t="s">
        <v>776</v>
      </c>
      <c r="HE5" s="293" t="s">
        <v>777</v>
      </c>
      <c r="HF5" s="293" t="s">
        <v>778</v>
      </c>
      <c r="HG5" s="293" t="s">
        <v>779</v>
      </c>
      <c r="HH5" s="293" t="s">
        <v>780</v>
      </c>
      <c r="HI5" s="293" t="s">
        <v>781</v>
      </c>
      <c r="HJ5" s="293" t="s">
        <v>782</v>
      </c>
      <c r="HK5" s="293" t="s">
        <v>783</v>
      </c>
      <c r="HL5" s="528" t="s">
        <v>355</v>
      </c>
      <c r="HM5" s="293" t="s">
        <v>383</v>
      </c>
      <c r="HN5" s="293" t="s">
        <v>411</v>
      </c>
      <c r="HO5" s="293" t="s">
        <v>439</v>
      </c>
      <c r="HP5" s="293" t="s">
        <v>467</v>
      </c>
      <c r="HQ5" s="293" t="s">
        <v>495</v>
      </c>
      <c r="HR5" s="293" t="s">
        <v>523</v>
      </c>
      <c r="HS5" s="293" t="s">
        <v>551</v>
      </c>
      <c r="HT5" s="293" t="s">
        <v>579</v>
      </c>
      <c r="HU5" s="528" t="s">
        <v>356</v>
      </c>
      <c r="HV5" s="293" t="s">
        <v>384</v>
      </c>
      <c r="HW5" s="293" t="s">
        <v>412</v>
      </c>
      <c r="HX5" s="293" t="s">
        <v>440</v>
      </c>
      <c r="HY5" s="293" t="s">
        <v>468</v>
      </c>
      <c r="HZ5" s="293" t="s">
        <v>496</v>
      </c>
      <c r="IA5" s="293" t="s">
        <v>524</v>
      </c>
      <c r="IB5" s="293" t="s">
        <v>552</v>
      </c>
      <c r="IC5" s="293" t="s">
        <v>580</v>
      </c>
      <c r="ID5" s="528" t="s">
        <v>784</v>
      </c>
      <c r="IE5" s="293" t="s">
        <v>785</v>
      </c>
      <c r="IF5" s="293" t="s">
        <v>786</v>
      </c>
      <c r="IG5" s="293" t="s">
        <v>787</v>
      </c>
      <c r="IH5" s="293" t="s">
        <v>788</v>
      </c>
      <c r="II5" s="293" t="s">
        <v>789</v>
      </c>
      <c r="IJ5" s="293" t="s">
        <v>790</v>
      </c>
      <c r="IK5" s="293" t="s">
        <v>791</v>
      </c>
      <c r="IL5" s="293" t="s">
        <v>792</v>
      </c>
      <c r="IM5" s="528" t="s">
        <v>357</v>
      </c>
      <c r="IN5" s="293" t="s">
        <v>385</v>
      </c>
      <c r="IO5" s="293" t="s">
        <v>413</v>
      </c>
      <c r="IP5" s="293" t="s">
        <v>441</v>
      </c>
      <c r="IQ5" s="293" t="s">
        <v>469</v>
      </c>
      <c r="IR5" s="293" t="s">
        <v>497</v>
      </c>
      <c r="IS5" s="293" t="s">
        <v>525</v>
      </c>
      <c r="IT5" s="293" t="s">
        <v>553</v>
      </c>
      <c r="IU5" s="293" t="s">
        <v>581</v>
      </c>
      <c r="IV5" s="528" t="s">
        <v>358</v>
      </c>
      <c r="IW5" s="293" t="s">
        <v>386</v>
      </c>
      <c r="IX5" s="293" t="s">
        <v>414</v>
      </c>
      <c r="IY5" s="293" t="s">
        <v>442</v>
      </c>
      <c r="IZ5" s="293" t="s">
        <v>470</v>
      </c>
      <c r="JA5" s="293" t="s">
        <v>498</v>
      </c>
      <c r="JB5" s="293" t="s">
        <v>526</v>
      </c>
      <c r="JC5" s="293" t="s">
        <v>554</v>
      </c>
      <c r="JD5" s="293" t="s">
        <v>582</v>
      </c>
      <c r="JE5" s="528" t="s">
        <v>359</v>
      </c>
      <c r="JF5" s="293" t="s">
        <v>387</v>
      </c>
      <c r="JG5" s="293" t="s">
        <v>415</v>
      </c>
      <c r="JH5" s="293" t="s">
        <v>443</v>
      </c>
      <c r="JI5" s="293" t="s">
        <v>471</v>
      </c>
      <c r="JJ5" s="293" t="s">
        <v>499</v>
      </c>
      <c r="JK5" s="293" t="s">
        <v>527</v>
      </c>
      <c r="JL5" s="293" t="s">
        <v>555</v>
      </c>
      <c r="JM5" s="293" t="s">
        <v>583</v>
      </c>
      <c r="JN5" s="528" t="s">
        <v>360</v>
      </c>
      <c r="JO5" s="293" t="s">
        <v>388</v>
      </c>
      <c r="JP5" s="293" t="s">
        <v>416</v>
      </c>
      <c r="JQ5" s="293" t="s">
        <v>444</v>
      </c>
      <c r="JR5" s="293" t="s">
        <v>472</v>
      </c>
      <c r="JS5" s="293" t="s">
        <v>500</v>
      </c>
      <c r="JT5" s="293" t="s">
        <v>528</v>
      </c>
      <c r="JU5" s="293" t="s">
        <v>556</v>
      </c>
      <c r="JV5" s="293" t="s">
        <v>584</v>
      </c>
      <c r="JW5" s="528" t="s">
        <v>361</v>
      </c>
      <c r="JX5" s="293" t="s">
        <v>389</v>
      </c>
      <c r="JY5" s="293" t="s">
        <v>417</v>
      </c>
      <c r="JZ5" s="293" t="s">
        <v>445</v>
      </c>
      <c r="KA5" s="293" t="s">
        <v>473</v>
      </c>
      <c r="KB5" s="293" t="s">
        <v>501</v>
      </c>
      <c r="KC5" s="293" t="s">
        <v>529</v>
      </c>
      <c r="KD5" s="293" t="s">
        <v>557</v>
      </c>
      <c r="KE5" s="293" t="s">
        <v>585</v>
      </c>
      <c r="KF5" s="528" t="s">
        <v>362</v>
      </c>
      <c r="KG5" s="293" t="s">
        <v>390</v>
      </c>
      <c r="KH5" s="293" t="s">
        <v>418</v>
      </c>
      <c r="KI5" s="293" t="s">
        <v>446</v>
      </c>
      <c r="KJ5" s="293" t="s">
        <v>474</v>
      </c>
      <c r="KK5" s="293" t="s">
        <v>502</v>
      </c>
      <c r="KL5" s="293" t="s">
        <v>530</v>
      </c>
      <c r="KM5" s="293" t="s">
        <v>558</v>
      </c>
      <c r="KN5" s="293" t="s">
        <v>586</v>
      </c>
      <c r="KO5" s="528" t="s">
        <v>363</v>
      </c>
      <c r="KP5" s="293" t="s">
        <v>391</v>
      </c>
      <c r="KQ5" s="293" t="s">
        <v>419</v>
      </c>
      <c r="KR5" s="293" t="s">
        <v>447</v>
      </c>
      <c r="KS5" s="293" t="s">
        <v>475</v>
      </c>
      <c r="KT5" s="293" t="s">
        <v>503</v>
      </c>
      <c r="KU5" s="293" t="s">
        <v>531</v>
      </c>
      <c r="KV5" s="293" t="s">
        <v>559</v>
      </c>
      <c r="KW5" s="293" t="s">
        <v>587</v>
      </c>
      <c r="KX5" s="528" t="s">
        <v>793</v>
      </c>
      <c r="KY5" s="293" t="s">
        <v>794</v>
      </c>
      <c r="KZ5" s="293" t="s">
        <v>795</v>
      </c>
      <c r="LA5" s="293" t="s">
        <v>796</v>
      </c>
      <c r="LB5" s="293" t="s">
        <v>797</v>
      </c>
      <c r="LC5" s="293" t="s">
        <v>798</v>
      </c>
      <c r="LD5" s="293" t="s">
        <v>799</v>
      </c>
      <c r="LE5" s="293" t="s">
        <v>800</v>
      </c>
      <c r="LF5" s="293" t="s">
        <v>801</v>
      </c>
      <c r="LG5" s="528" t="s">
        <v>364</v>
      </c>
      <c r="LH5" s="293" t="s">
        <v>392</v>
      </c>
      <c r="LI5" s="293" t="s">
        <v>420</v>
      </c>
      <c r="LJ5" s="293" t="s">
        <v>448</v>
      </c>
      <c r="LK5" s="293" t="s">
        <v>476</v>
      </c>
      <c r="LL5" s="293" t="s">
        <v>504</v>
      </c>
      <c r="LM5" s="293" t="s">
        <v>532</v>
      </c>
      <c r="LN5" s="293" t="s">
        <v>560</v>
      </c>
      <c r="LO5" s="293" t="s">
        <v>588</v>
      </c>
      <c r="LP5" s="528" t="s">
        <v>365</v>
      </c>
      <c r="LQ5" s="293" t="s">
        <v>393</v>
      </c>
      <c r="LR5" s="293" t="s">
        <v>421</v>
      </c>
      <c r="LS5" s="293" t="s">
        <v>449</v>
      </c>
      <c r="LT5" s="293" t="s">
        <v>477</v>
      </c>
      <c r="LU5" s="293" t="s">
        <v>505</v>
      </c>
      <c r="LV5" s="293" t="s">
        <v>533</v>
      </c>
      <c r="LW5" s="293" t="s">
        <v>561</v>
      </c>
      <c r="LX5" s="293" t="s">
        <v>589</v>
      </c>
      <c r="LY5" s="528" t="s">
        <v>366</v>
      </c>
      <c r="LZ5" s="293" t="s">
        <v>394</v>
      </c>
      <c r="MA5" s="293" t="s">
        <v>422</v>
      </c>
      <c r="MB5" s="293" t="s">
        <v>450</v>
      </c>
      <c r="MC5" s="293" t="s">
        <v>478</v>
      </c>
      <c r="MD5" s="293" t="s">
        <v>506</v>
      </c>
      <c r="ME5" s="293" t="s">
        <v>534</v>
      </c>
      <c r="MF5" s="293" t="s">
        <v>562</v>
      </c>
      <c r="MG5" s="293" t="s">
        <v>590</v>
      </c>
      <c r="MH5" s="528" t="s">
        <v>802</v>
      </c>
      <c r="MI5" s="293" t="s">
        <v>803</v>
      </c>
      <c r="MJ5" s="293" t="s">
        <v>804</v>
      </c>
      <c r="MK5" s="293" t="s">
        <v>805</v>
      </c>
      <c r="ML5" s="293" t="s">
        <v>806</v>
      </c>
      <c r="MM5" s="293" t="s">
        <v>807</v>
      </c>
      <c r="MN5" s="293" t="s">
        <v>808</v>
      </c>
      <c r="MO5" s="293" t="s">
        <v>809</v>
      </c>
      <c r="MP5" s="293" t="s">
        <v>810</v>
      </c>
      <c r="MQ5" s="528" t="s">
        <v>811</v>
      </c>
      <c r="MR5" s="293" t="s">
        <v>812</v>
      </c>
      <c r="MS5" s="293" t="s">
        <v>813</v>
      </c>
      <c r="MT5" s="293" t="s">
        <v>814</v>
      </c>
      <c r="MU5" s="293" t="s">
        <v>815</v>
      </c>
      <c r="MV5" s="293" t="s">
        <v>816</v>
      </c>
      <c r="MW5" s="293" t="s">
        <v>817</v>
      </c>
      <c r="MX5" s="293" t="s">
        <v>818</v>
      </c>
      <c r="MY5" s="293" t="s">
        <v>819</v>
      </c>
      <c r="MZ5" s="528" t="s">
        <v>820</v>
      </c>
      <c r="NA5" s="293" t="s">
        <v>821</v>
      </c>
      <c r="NB5" s="293" t="s">
        <v>822</v>
      </c>
      <c r="NC5" s="293" t="s">
        <v>823</v>
      </c>
      <c r="ND5" s="293" t="s">
        <v>824</v>
      </c>
      <c r="NE5" s="293" t="s">
        <v>825</v>
      </c>
      <c r="NF5" s="293" t="s">
        <v>826</v>
      </c>
      <c r="NG5" s="293" t="s">
        <v>827</v>
      </c>
      <c r="NH5" s="293" t="s">
        <v>828</v>
      </c>
      <c r="NI5" s="528" t="s">
        <v>367</v>
      </c>
      <c r="NJ5" s="293" t="s">
        <v>395</v>
      </c>
      <c r="NK5" s="293" t="s">
        <v>423</v>
      </c>
      <c r="NL5" s="293" t="s">
        <v>451</v>
      </c>
      <c r="NM5" s="293" t="s">
        <v>479</v>
      </c>
      <c r="NN5" s="293" t="s">
        <v>507</v>
      </c>
      <c r="NO5" s="293" t="s">
        <v>535</v>
      </c>
      <c r="NP5" s="293" t="s">
        <v>563</v>
      </c>
      <c r="NQ5" s="293" t="s">
        <v>591</v>
      </c>
      <c r="NR5" s="528" t="s">
        <v>368</v>
      </c>
      <c r="NS5" s="293" t="s">
        <v>396</v>
      </c>
      <c r="NT5" s="293" t="s">
        <v>424</v>
      </c>
      <c r="NU5" s="293" t="s">
        <v>452</v>
      </c>
      <c r="NV5" s="293" t="s">
        <v>480</v>
      </c>
      <c r="NW5" s="293" t="s">
        <v>508</v>
      </c>
      <c r="NX5" s="293" t="s">
        <v>536</v>
      </c>
      <c r="NY5" s="293" t="s">
        <v>564</v>
      </c>
      <c r="NZ5" s="293" t="s">
        <v>592</v>
      </c>
      <c r="OA5" s="528" t="s">
        <v>829</v>
      </c>
      <c r="OB5" s="293" t="s">
        <v>830</v>
      </c>
      <c r="OC5" s="293" t="s">
        <v>831</v>
      </c>
      <c r="OD5" s="293" t="s">
        <v>832</v>
      </c>
      <c r="OE5" s="293" t="s">
        <v>833</v>
      </c>
      <c r="OF5" s="293" t="s">
        <v>834</v>
      </c>
      <c r="OG5" s="293" t="s">
        <v>835</v>
      </c>
      <c r="OH5" s="293" t="s">
        <v>836</v>
      </c>
      <c r="OI5" s="293" t="s">
        <v>837</v>
      </c>
      <c r="OJ5" s="528" t="s">
        <v>838</v>
      </c>
      <c r="OK5" s="293" t="s">
        <v>839</v>
      </c>
      <c r="OL5" s="293" t="s">
        <v>840</v>
      </c>
      <c r="OM5" s="293" t="s">
        <v>841</v>
      </c>
      <c r="ON5" s="293" t="s">
        <v>842</v>
      </c>
      <c r="OO5" s="293" t="s">
        <v>843</v>
      </c>
      <c r="OP5" s="293" t="s">
        <v>844</v>
      </c>
      <c r="OQ5" s="293" t="s">
        <v>845</v>
      </c>
      <c r="OR5" s="293" t="s">
        <v>846</v>
      </c>
      <c r="OS5" s="528" t="s">
        <v>847</v>
      </c>
      <c r="OT5" s="293" t="s">
        <v>848</v>
      </c>
      <c r="OU5" s="293" t="s">
        <v>849</v>
      </c>
      <c r="OV5" s="293" t="s">
        <v>850</v>
      </c>
      <c r="OW5" s="293" t="s">
        <v>851</v>
      </c>
      <c r="OX5" s="293" t="s">
        <v>852</v>
      </c>
      <c r="OY5" s="293" t="s">
        <v>853</v>
      </c>
      <c r="OZ5" s="293" t="s">
        <v>854</v>
      </c>
      <c r="PA5" s="293" t="s">
        <v>855</v>
      </c>
      <c r="PB5" s="528" t="s">
        <v>856</v>
      </c>
      <c r="PC5" s="293" t="s">
        <v>857</v>
      </c>
      <c r="PD5" s="293" t="s">
        <v>858</v>
      </c>
      <c r="PE5" s="293" t="s">
        <v>859</v>
      </c>
      <c r="PF5" s="293" t="s">
        <v>860</v>
      </c>
      <c r="PG5" s="293" t="s">
        <v>861</v>
      </c>
      <c r="PH5" s="293" t="s">
        <v>862</v>
      </c>
      <c r="PI5" s="293" t="s">
        <v>863</v>
      </c>
      <c r="PJ5" s="293" t="s">
        <v>864</v>
      </c>
      <c r="PK5" s="528" t="s">
        <v>369</v>
      </c>
      <c r="PL5" s="293" t="s">
        <v>397</v>
      </c>
      <c r="PM5" s="293" t="s">
        <v>425</v>
      </c>
      <c r="PN5" s="293" t="s">
        <v>453</v>
      </c>
      <c r="PO5" s="293" t="s">
        <v>481</v>
      </c>
      <c r="PP5" s="293" t="s">
        <v>509</v>
      </c>
      <c r="PQ5" s="293" t="s">
        <v>537</v>
      </c>
      <c r="PR5" s="293" t="s">
        <v>565</v>
      </c>
      <c r="PS5" s="293" t="s">
        <v>593</v>
      </c>
      <c r="PT5" s="528" t="s">
        <v>370</v>
      </c>
      <c r="PU5" s="293" t="s">
        <v>398</v>
      </c>
      <c r="PV5" s="293" t="s">
        <v>426</v>
      </c>
      <c r="PW5" s="293" t="s">
        <v>454</v>
      </c>
      <c r="PX5" s="293" t="s">
        <v>482</v>
      </c>
      <c r="PY5" s="293" t="s">
        <v>510</v>
      </c>
      <c r="PZ5" s="293" t="s">
        <v>538</v>
      </c>
      <c r="QA5" s="293" t="s">
        <v>566</v>
      </c>
      <c r="QB5" s="293" t="s">
        <v>594</v>
      </c>
      <c r="QC5" s="528" t="s">
        <v>865</v>
      </c>
      <c r="QD5" s="293" t="s">
        <v>866</v>
      </c>
      <c r="QE5" s="293" t="s">
        <v>867</v>
      </c>
      <c r="QF5" s="293" t="s">
        <v>868</v>
      </c>
      <c r="QG5" s="293" t="s">
        <v>869</v>
      </c>
      <c r="QH5" s="293" t="s">
        <v>870</v>
      </c>
      <c r="QI5" s="293" t="s">
        <v>871</v>
      </c>
      <c r="QJ5" s="293" t="s">
        <v>872</v>
      </c>
      <c r="QK5" s="293" t="s">
        <v>873</v>
      </c>
      <c r="QL5" s="528" t="s">
        <v>874</v>
      </c>
      <c r="QM5" s="293" t="s">
        <v>875</v>
      </c>
      <c r="QN5" s="293" t="s">
        <v>876</v>
      </c>
      <c r="QO5" s="293" t="s">
        <v>877</v>
      </c>
      <c r="QP5" s="293" t="s">
        <v>878</v>
      </c>
      <c r="QQ5" s="293" t="s">
        <v>879</v>
      </c>
      <c r="QR5" s="293" t="s">
        <v>880</v>
      </c>
      <c r="QS5" s="293" t="s">
        <v>881</v>
      </c>
      <c r="QT5" s="293" t="s">
        <v>882</v>
      </c>
      <c r="QU5" s="528" t="s">
        <v>883</v>
      </c>
      <c r="QV5" s="293" t="s">
        <v>884</v>
      </c>
      <c r="QW5" s="293" t="s">
        <v>885</v>
      </c>
      <c r="QX5" s="293" t="s">
        <v>886</v>
      </c>
      <c r="QY5" s="293" t="s">
        <v>887</v>
      </c>
      <c r="QZ5" s="293" t="s">
        <v>888</v>
      </c>
      <c r="RA5" s="293" t="s">
        <v>889</v>
      </c>
      <c r="RB5" s="293" t="s">
        <v>890</v>
      </c>
      <c r="RC5" s="293" t="s">
        <v>891</v>
      </c>
      <c r="RD5" s="528" t="s">
        <v>892</v>
      </c>
      <c r="RE5" s="293" t="s">
        <v>893</v>
      </c>
      <c r="RF5" s="293" t="s">
        <v>894</v>
      </c>
      <c r="RG5" s="293" t="s">
        <v>895</v>
      </c>
      <c r="RH5" s="293" t="s">
        <v>896</v>
      </c>
      <c r="RI5" s="293" t="s">
        <v>897</v>
      </c>
      <c r="RJ5" s="293" t="s">
        <v>898</v>
      </c>
      <c r="RK5" s="293" t="s">
        <v>899</v>
      </c>
      <c r="RL5" s="293" t="s">
        <v>900</v>
      </c>
      <c r="RM5" s="528" t="s">
        <v>901</v>
      </c>
      <c r="RN5" s="293" t="s">
        <v>902</v>
      </c>
      <c r="RO5" s="293" t="s">
        <v>903</v>
      </c>
      <c r="RP5" s="293" t="s">
        <v>904</v>
      </c>
      <c r="RQ5" s="293" t="s">
        <v>905</v>
      </c>
      <c r="RR5" s="293" t="s">
        <v>906</v>
      </c>
      <c r="RS5" s="293" t="s">
        <v>907</v>
      </c>
      <c r="RT5" s="293" t="s">
        <v>908</v>
      </c>
      <c r="RU5" s="293" t="s">
        <v>909</v>
      </c>
      <c r="RV5" s="528" t="s">
        <v>910</v>
      </c>
      <c r="RW5" s="293" t="s">
        <v>911</v>
      </c>
      <c r="RX5" s="293" t="s">
        <v>912</v>
      </c>
      <c r="RY5" s="293" t="s">
        <v>913</v>
      </c>
      <c r="RZ5" s="293" t="s">
        <v>914</v>
      </c>
      <c r="SA5" s="293" t="s">
        <v>915</v>
      </c>
      <c r="SB5" s="293" t="s">
        <v>916</v>
      </c>
      <c r="SC5" s="293" t="s">
        <v>917</v>
      </c>
      <c r="SD5" s="293" t="s">
        <v>918</v>
      </c>
      <c r="SE5" s="528" t="s">
        <v>919</v>
      </c>
      <c r="SF5" s="293" t="s">
        <v>920</v>
      </c>
      <c r="SG5" s="293" t="s">
        <v>921</v>
      </c>
      <c r="SH5" s="293" t="s">
        <v>922</v>
      </c>
      <c r="SI5" s="293" t="s">
        <v>923</v>
      </c>
      <c r="SJ5" s="293" t="s">
        <v>924</v>
      </c>
      <c r="SK5" s="293" t="s">
        <v>925</v>
      </c>
      <c r="SL5" s="293" t="s">
        <v>926</v>
      </c>
      <c r="SM5" s="293" t="s">
        <v>927</v>
      </c>
      <c r="SN5" s="528" t="s">
        <v>928</v>
      </c>
      <c r="SO5" s="293" t="s">
        <v>929</v>
      </c>
      <c r="SP5" s="293" t="s">
        <v>930</v>
      </c>
      <c r="SQ5" s="293" t="s">
        <v>931</v>
      </c>
      <c r="SR5" s="293" t="s">
        <v>932</v>
      </c>
      <c r="SS5" s="293" t="s">
        <v>933</v>
      </c>
      <c r="ST5" s="293" t="s">
        <v>934</v>
      </c>
      <c r="SU5" s="293" t="s">
        <v>935</v>
      </c>
      <c r="SV5" s="293" t="s">
        <v>936</v>
      </c>
      <c r="SW5" s="528" t="s">
        <v>937</v>
      </c>
      <c r="SX5" s="293" t="s">
        <v>938</v>
      </c>
      <c r="SY5" s="293" t="s">
        <v>939</v>
      </c>
      <c r="SZ5" s="293" t="s">
        <v>940</v>
      </c>
      <c r="TA5" s="293" t="s">
        <v>941</v>
      </c>
      <c r="TB5" s="293" t="s">
        <v>942</v>
      </c>
      <c r="TC5" s="293" t="s">
        <v>943</v>
      </c>
      <c r="TD5" s="529" t="s">
        <v>944</v>
      </c>
      <c r="TE5" s="293" t="s">
        <v>945</v>
      </c>
      <c r="TF5" s="530" t="s">
        <v>946</v>
      </c>
      <c r="TG5" s="530"/>
      <c r="TH5" s="514"/>
      <c r="TI5" s="531" t="s">
        <v>947</v>
      </c>
      <c r="TJ5" s="531" t="s">
        <v>948</v>
      </c>
      <c r="TK5" s="532" t="s">
        <v>949</v>
      </c>
      <c r="TL5" s="491" t="s">
        <v>950</v>
      </c>
      <c r="TM5" s="491" t="s">
        <v>951</v>
      </c>
      <c r="TN5" s="491" t="s">
        <v>952</v>
      </c>
      <c r="TO5" s="491" t="s">
        <v>953</v>
      </c>
      <c r="TP5" s="491" t="s">
        <v>954</v>
      </c>
      <c r="TQ5" s="491" t="s">
        <v>955</v>
      </c>
      <c r="TR5" s="491" t="s">
        <v>956</v>
      </c>
      <c r="TS5" s="491" t="s">
        <v>957</v>
      </c>
      <c r="TT5" s="491" t="s">
        <v>958</v>
      </c>
      <c r="TU5" s="532" t="s">
        <v>959</v>
      </c>
      <c r="TV5" s="491" t="s">
        <v>960</v>
      </c>
      <c r="TW5" s="491" t="s">
        <v>961</v>
      </c>
      <c r="TX5" s="491" t="s">
        <v>962</v>
      </c>
      <c r="TY5" s="491" t="s">
        <v>963</v>
      </c>
      <c r="TZ5" s="491" t="s">
        <v>964</v>
      </c>
      <c r="UA5" s="491" t="s">
        <v>965</v>
      </c>
      <c r="UB5" s="491" t="s">
        <v>966</v>
      </c>
      <c r="UC5" s="491" t="s">
        <v>967</v>
      </c>
      <c r="UD5" s="532" t="s">
        <v>968</v>
      </c>
      <c r="UE5" s="491" t="s">
        <v>969</v>
      </c>
      <c r="UF5" s="491" t="s">
        <v>970</v>
      </c>
      <c r="UG5" s="491" t="s">
        <v>971</v>
      </c>
      <c r="UH5" s="491" t="s">
        <v>972</v>
      </c>
      <c r="UI5" s="491" t="s">
        <v>973</v>
      </c>
      <c r="UJ5" s="491" t="s">
        <v>974</v>
      </c>
      <c r="UK5" s="491" t="s">
        <v>975</v>
      </c>
      <c r="UL5" s="491" t="s">
        <v>976</v>
      </c>
      <c r="UM5" s="306" t="s">
        <v>977</v>
      </c>
      <c r="UN5" s="306" t="s">
        <v>978</v>
      </c>
      <c r="UO5" s="532" t="s">
        <v>979</v>
      </c>
      <c r="UP5" s="491" t="s">
        <v>980</v>
      </c>
      <c r="UQ5" s="491" t="s">
        <v>981</v>
      </c>
      <c r="UR5" s="491" t="s">
        <v>982</v>
      </c>
      <c r="US5" s="491" t="s">
        <v>983</v>
      </c>
      <c r="UT5" s="491" t="s">
        <v>984</v>
      </c>
      <c r="UU5" s="491" t="s">
        <v>985</v>
      </c>
      <c r="UV5" s="491" t="s">
        <v>986</v>
      </c>
      <c r="UW5" s="491" t="s">
        <v>987</v>
      </c>
      <c r="UX5" s="531" t="s">
        <v>988</v>
      </c>
      <c r="UY5" s="532" t="s">
        <v>989</v>
      </c>
      <c r="UZ5" s="491" t="s">
        <v>990</v>
      </c>
      <c r="VA5"/>
      <c r="VB5" s="533"/>
      <c r="VC5" s="532" t="s">
        <v>991</v>
      </c>
      <c r="VD5" s="491" t="s">
        <v>992</v>
      </c>
      <c r="VE5" s="491" t="s">
        <v>993</v>
      </c>
    </row>
    <row r="6" spans="1:577" ht="30.75" customHeight="1" thickBot="1">
      <c r="A6" s="447">
        <v>390</v>
      </c>
      <c r="B6" s="445" t="s">
        <v>1203</v>
      </c>
      <c r="C6" s="446" t="s">
        <v>328</v>
      </c>
      <c r="D6" t="s">
        <v>1421</v>
      </c>
      <c r="E6" s="850">
        <v>30</v>
      </c>
      <c r="F6" s="534">
        <v>14116429193</v>
      </c>
      <c r="G6" s="491" t="s">
        <v>1422</v>
      </c>
      <c r="H6" t="s">
        <v>1203</v>
      </c>
      <c r="M6">
        <v>191118600</v>
      </c>
      <c r="N6">
        <v>0</v>
      </c>
      <c r="O6">
        <v>0</v>
      </c>
      <c r="P6">
        <v>0</v>
      </c>
      <c r="Q6">
        <v>0</v>
      </c>
      <c r="R6">
        <v>0</v>
      </c>
      <c r="S6">
        <v>0</v>
      </c>
      <c r="T6">
        <v>0</v>
      </c>
      <c r="U6">
        <v>0</v>
      </c>
      <c r="V6">
        <v>2100000</v>
      </c>
      <c r="W6">
        <v>1537881</v>
      </c>
      <c r="X6">
        <v>0</v>
      </c>
      <c r="Y6">
        <v>38402817</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-6456273</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8316348</v>
      </c>
      <c r="CQ6">
        <v>16960062</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-297179</v>
      </c>
      <c r="DR6">
        <v>0</v>
      </c>
      <c r="DS6">
        <v>0</v>
      </c>
      <c r="DT6">
        <v>0</v>
      </c>
      <c r="DU6">
        <v>0</v>
      </c>
      <c r="DV6">
        <v>0</v>
      </c>
      <c r="DW6">
        <v>0</v>
      </c>
      <c r="DX6">
        <v>0</v>
      </c>
      <c r="DY6">
        <v>0</v>
      </c>
      <c r="DZ6">
        <v>0</v>
      </c>
      <c r="EA6">
        <v>0</v>
      </c>
      <c r="EB6">
        <v>0</v>
      </c>
      <c r="EC6">
        <v>0</v>
      </c>
      <c r="ED6">
        <v>0</v>
      </c>
      <c r="EE6">
        <v>0</v>
      </c>
      <c r="EF6">
        <v>0</v>
      </c>
      <c r="EG6">
        <v>0</v>
      </c>
      <c r="EH6">
        <v>0</v>
      </c>
      <c r="EI6">
        <v>31004</v>
      </c>
      <c r="EJ6">
        <v>-431640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v>0</v>
      </c>
      <c r="FW6">
        <v>0</v>
      </c>
      <c r="FX6">
        <v>0</v>
      </c>
      <c r="FY6">
        <v>0</v>
      </c>
      <c r="FZ6">
        <v>0</v>
      </c>
      <c r="GA6">
        <v>0</v>
      </c>
      <c r="GB6">
        <v>49858</v>
      </c>
      <c r="GC6">
        <v>919110</v>
      </c>
      <c r="GD6">
        <v>1665439</v>
      </c>
      <c r="GE6">
        <v>0</v>
      </c>
      <c r="GF6">
        <v>0</v>
      </c>
      <c r="GG6">
        <v>0</v>
      </c>
      <c r="GH6">
        <v>0</v>
      </c>
      <c r="GI6">
        <v>0</v>
      </c>
      <c r="GJ6">
        <v>0</v>
      </c>
      <c r="GK6">
        <v>0</v>
      </c>
      <c r="GL6">
        <v>0</v>
      </c>
      <c r="GM6">
        <v>0</v>
      </c>
      <c r="GN6">
        <v>0</v>
      </c>
      <c r="GO6">
        <v>0</v>
      </c>
      <c r="GP6">
        <v>0</v>
      </c>
      <c r="GQ6">
        <v>0</v>
      </c>
      <c r="GR6">
        <v>0</v>
      </c>
      <c r="GS6">
        <v>0</v>
      </c>
      <c r="GT6">
        <v>0</v>
      </c>
      <c r="GU6">
        <v>0</v>
      </c>
      <c r="GV6">
        <v>0</v>
      </c>
      <c r="GW6">
        <v>0</v>
      </c>
      <c r="GX6">
        <v>0</v>
      </c>
      <c r="GY6">
        <v>0</v>
      </c>
      <c r="GZ6">
        <v>0</v>
      </c>
      <c r="HA6">
        <v>0</v>
      </c>
      <c r="HB6">
        <v>0</v>
      </c>
      <c r="HC6">
        <v>0</v>
      </c>
      <c r="HD6">
        <v>0</v>
      </c>
      <c r="HE6">
        <v>0</v>
      </c>
      <c r="HF6">
        <v>0</v>
      </c>
      <c r="HG6">
        <v>0</v>
      </c>
      <c r="HH6">
        <v>0</v>
      </c>
      <c r="HI6">
        <v>0</v>
      </c>
      <c r="HJ6">
        <v>0</v>
      </c>
      <c r="HK6">
        <v>0</v>
      </c>
      <c r="HL6">
        <v>0</v>
      </c>
      <c r="HM6">
        <v>0</v>
      </c>
      <c r="HN6">
        <v>0</v>
      </c>
      <c r="HO6">
        <v>0</v>
      </c>
      <c r="HP6">
        <v>0</v>
      </c>
      <c r="HQ6">
        <v>0</v>
      </c>
      <c r="HR6">
        <v>0</v>
      </c>
      <c r="HS6">
        <v>0</v>
      </c>
      <c r="HT6">
        <v>0</v>
      </c>
      <c r="HU6">
        <v>-1607</v>
      </c>
      <c r="HV6">
        <v>-23197</v>
      </c>
      <c r="HW6">
        <v>-160669</v>
      </c>
      <c r="HX6">
        <v>0</v>
      </c>
      <c r="HY6">
        <v>0</v>
      </c>
      <c r="HZ6">
        <v>0</v>
      </c>
      <c r="IA6">
        <v>0</v>
      </c>
      <c r="IB6">
        <v>0</v>
      </c>
      <c r="IC6">
        <v>0</v>
      </c>
      <c r="ID6">
        <v>0</v>
      </c>
      <c r="IE6">
        <v>62080805</v>
      </c>
      <c r="IF6">
        <v>0</v>
      </c>
      <c r="IG6">
        <v>138927458</v>
      </c>
      <c r="IH6">
        <v>0</v>
      </c>
      <c r="II6">
        <v>0</v>
      </c>
      <c r="IJ6">
        <v>0</v>
      </c>
      <c r="IK6">
        <v>0</v>
      </c>
      <c r="IL6">
        <v>0</v>
      </c>
      <c r="IM6">
        <v>0</v>
      </c>
      <c r="IN6">
        <v>665714950</v>
      </c>
      <c r="IO6">
        <v>0</v>
      </c>
      <c r="IP6">
        <v>0</v>
      </c>
      <c r="IQ6">
        <v>0</v>
      </c>
      <c r="IR6">
        <v>0</v>
      </c>
      <c r="IS6">
        <v>0</v>
      </c>
      <c r="IT6">
        <v>0</v>
      </c>
      <c r="IU6">
        <v>0</v>
      </c>
      <c r="IV6">
        <v>0</v>
      </c>
      <c r="IW6">
        <v>1308148971</v>
      </c>
      <c r="IX6">
        <v>0</v>
      </c>
      <c r="IY6">
        <v>0</v>
      </c>
      <c r="IZ6">
        <v>0</v>
      </c>
      <c r="JA6">
        <v>0</v>
      </c>
      <c r="JB6">
        <v>0</v>
      </c>
      <c r="JC6">
        <v>0</v>
      </c>
      <c r="JD6">
        <v>0</v>
      </c>
      <c r="JE6">
        <v>265395</v>
      </c>
      <c r="JF6">
        <v>84203398</v>
      </c>
      <c r="JG6">
        <v>2278</v>
      </c>
      <c r="JH6">
        <v>48039863</v>
      </c>
      <c r="JI6">
        <v>33832</v>
      </c>
      <c r="JJ6">
        <v>710178</v>
      </c>
      <c r="JK6">
        <v>0</v>
      </c>
      <c r="JL6">
        <v>0</v>
      </c>
      <c r="JM6">
        <v>0</v>
      </c>
      <c r="JN6">
        <v>0</v>
      </c>
      <c r="JO6">
        <v>208653954</v>
      </c>
      <c r="JP6">
        <v>0</v>
      </c>
      <c r="JQ6">
        <v>377925</v>
      </c>
      <c r="JR6">
        <v>0</v>
      </c>
      <c r="JS6">
        <v>0</v>
      </c>
      <c r="JT6">
        <v>0</v>
      </c>
      <c r="JU6">
        <v>0</v>
      </c>
      <c r="JV6">
        <v>0</v>
      </c>
      <c r="JW6">
        <v>0</v>
      </c>
      <c r="JX6">
        <v>35676031</v>
      </c>
      <c r="JY6">
        <v>0</v>
      </c>
      <c r="JZ6">
        <v>136716563</v>
      </c>
      <c r="KA6">
        <v>0</v>
      </c>
      <c r="KB6">
        <v>0</v>
      </c>
      <c r="KC6">
        <v>0</v>
      </c>
      <c r="KD6">
        <v>0</v>
      </c>
      <c r="KE6">
        <v>0</v>
      </c>
      <c r="KF6">
        <v>0</v>
      </c>
      <c r="KG6">
        <v>7821706</v>
      </c>
      <c r="KH6">
        <v>0</v>
      </c>
      <c r="KI6">
        <v>1798948</v>
      </c>
      <c r="KJ6">
        <v>0</v>
      </c>
      <c r="KK6">
        <v>0</v>
      </c>
      <c r="KL6">
        <v>0</v>
      </c>
      <c r="KM6">
        <v>0</v>
      </c>
      <c r="KN6">
        <v>0</v>
      </c>
      <c r="KO6">
        <v>0</v>
      </c>
      <c r="KP6">
        <v>0</v>
      </c>
      <c r="KQ6">
        <v>26351428</v>
      </c>
      <c r="KR6">
        <v>0</v>
      </c>
      <c r="KS6">
        <v>0</v>
      </c>
      <c r="KT6">
        <v>0</v>
      </c>
      <c r="KU6">
        <v>0</v>
      </c>
      <c r="KV6">
        <v>0</v>
      </c>
      <c r="KW6">
        <v>0</v>
      </c>
      <c r="KX6">
        <v>116188</v>
      </c>
      <c r="KY6">
        <v>141991832</v>
      </c>
      <c r="KZ6">
        <v>0</v>
      </c>
      <c r="LA6">
        <v>537971</v>
      </c>
      <c r="LB6">
        <v>0</v>
      </c>
      <c r="LC6">
        <v>0</v>
      </c>
      <c r="LD6">
        <v>0</v>
      </c>
      <c r="LE6">
        <v>0</v>
      </c>
      <c r="LF6">
        <v>-2924275</v>
      </c>
      <c r="LG6">
        <v>89854277</v>
      </c>
      <c r="LH6">
        <v>858390009</v>
      </c>
      <c r="LI6">
        <v>0</v>
      </c>
      <c r="LJ6">
        <v>3547546</v>
      </c>
      <c r="LK6">
        <v>0</v>
      </c>
      <c r="LL6">
        <v>0</v>
      </c>
      <c r="LM6">
        <v>0</v>
      </c>
      <c r="LN6">
        <v>0</v>
      </c>
      <c r="LO6">
        <v>0</v>
      </c>
      <c r="LP6">
        <v>37476367</v>
      </c>
      <c r="LQ6">
        <v>29384464</v>
      </c>
      <c r="LR6">
        <v>0</v>
      </c>
      <c r="LS6">
        <v>296275876</v>
      </c>
      <c r="LT6">
        <v>0</v>
      </c>
      <c r="LU6">
        <v>0</v>
      </c>
      <c r="LV6">
        <v>0</v>
      </c>
      <c r="LW6">
        <v>0</v>
      </c>
      <c r="LX6">
        <v>0</v>
      </c>
      <c r="LY6">
        <v>835239</v>
      </c>
      <c r="LZ6">
        <v>27402580</v>
      </c>
      <c r="MA6">
        <v>0</v>
      </c>
      <c r="MB6">
        <v>2957038</v>
      </c>
      <c r="MC6">
        <v>0</v>
      </c>
      <c r="MD6">
        <v>0</v>
      </c>
      <c r="ME6">
        <v>0</v>
      </c>
      <c r="MF6">
        <v>0</v>
      </c>
      <c r="MG6">
        <v>0</v>
      </c>
      <c r="MH6">
        <v>0</v>
      </c>
      <c r="MI6">
        <v>1210555336</v>
      </c>
      <c r="MJ6">
        <v>0</v>
      </c>
      <c r="MK6">
        <v>112380</v>
      </c>
      <c r="ML6">
        <v>0</v>
      </c>
      <c r="MM6">
        <v>0</v>
      </c>
      <c r="MN6">
        <v>0</v>
      </c>
      <c r="MO6">
        <v>0</v>
      </c>
      <c r="MP6">
        <v>0</v>
      </c>
      <c r="MQ6">
        <v>7728190</v>
      </c>
      <c r="MR6">
        <v>13465018</v>
      </c>
      <c r="MS6">
        <v>0</v>
      </c>
      <c r="MT6">
        <v>2673663</v>
      </c>
      <c r="MU6">
        <v>0</v>
      </c>
      <c r="MV6">
        <v>0</v>
      </c>
      <c r="MW6">
        <v>0</v>
      </c>
      <c r="MX6">
        <v>0</v>
      </c>
      <c r="MY6">
        <v>0</v>
      </c>
      <c r="MZ6">
        <v>2656989</v>
      </c>
      <c r="NA6">
        <v>1303963</v>
      </c>
      <c r="NB6">
        <v>0</v>
      </c>
      <c r="NC6">
        <v>91181</v>
      </c>
      <c r="ND6">
        <v>-47711</v>
      </c>
      <c r="NE6">
        <v>0</v>
      </c>
      <c r="NF6">
        <v>0</v>
      </c>
      <c r="NG6">
        <v>0</v>
      </c>
      <c r="NH6">
        <v>0</v>
      </c>
      <c r="NI6">
        <v>29031359</v>
      </c>
      <c r="NJ6">
        <v>34908072</v>
      </c>
      <c r="NK6">
        <v>0</v>
      </c>
      <c r="NL6">
        <v>7056388</v>
      </c>
      <c r="NM6">
        <v>0</v>
      </c>
      <c r="NN6">
        <v>0</v>
      </c>
      <c r="NO6">
        <v>0</v>
      </c>
      <c r="NP6">
        <v>0</v>
      </c>
      <c r="NQ6">
        <v>0</v>
      </c>
      <c r="NR6">
        <v>17630656</v>
      </c>
      <c r="NS6">
        <v>36909047</v>
      </c>
      <c r="NT6">
        <v>0</v>
      </c>
      <c r="NU6">
        <v>837850</v>
      </c>
      <c r="NV6">
        <v>0</v>
      </c>
      <c r="NW6">
        <v>0</v>
      </c>
      <c r="NX6">
        <v>28346719</v>
      </c>
      <c r="NY6">
        <v>0</v>
      </c>
      <c r="NZ6">
        <v>0</v>
      </c>
      <c r="OA6">
        <v>96755</v>
      </c>
      <c r="OB6">
        <v>26581</v>
      </c>
      <c r="OC6">
        <v>0</v>
      </c>
      <c r="OD6">
        <v>4336792</v>
      </c>
      <c r="OE6">
        <v>0</v>
      </c>
      <c r="OF6">
        <v>0</v>
      </c>
      <c r="OG6">
        <v>0</v>
      </c>
      <c r="OH6">
        <v>0</v>
      </c>
      <c r="OI6">
        <v>0</v>
      </c>
      <c r="OJ6">
        <v>0</v>
      </c>
      <c r="OK6">
        <v>27454</v>
      </c>
      <c r="OL6">
        <v>24039289</v>
      </c>
      <c r="OM6">
        <v>0</v>
      </c>
      <c r="ON6">
        <v>0</v>
      </c>
      <c r="OO6">
        <v>0</v>
      </c>
      <c r="OP6">
        <v>0</v>
      </c>
      <c r="OQ6">
        <v>0</v>
      </c>
      <c r="OR6">
        <v>0</v>
      </c>
      <c r="OS6">
        <v>0</v>
      </c>
      <c r="OT6">
        <v>6461032</v>
      </c>
      <c r="OU6">
        <v>13510</v>
      </c>
      <c r="OV6">
        <v>7969115</v>
      </c>
      <c r="OW6">
        <v>0</v>
      </c>
      <c r="OX6">
        <v>0</v>
      </c>
      <c r="OY6">
        <v>0</v>
      </c>
      <c r="OZ6">
        <v>0</v>
      </c>
      <c r="PA6">
        <v>0</v>
      </c>
      <c r="PB6">
        <v>0</v>
      </c>
      <c r="PC6">
        <v>0</v>
      </c>
      <c r="PD6">
        <v>0</v>
      </c>
      <c r="PE6">
        <v>0</v>
      </c>
      <c r="PF6">
        <v>4701500</v>
      </c>
      <c r="PG6">
        <v>0</v>
      </c>
      <c r="PH6">
        <v>3058042</v>
      </c>
      <c r="PI6">
        <v>0</v>
      </c>
      <c r="PJ6">
        <v>0</v>
      </c>
      <c r="PK6">
        <v>0</v>
      </c>
      <c r="PL6">
        <v>0</v>
      </c>
      <c r="PM6">
        <v>0</v>
      </c>
      <c r="PN6">
        <v>0</v>
      </c>
      <c r="PO6">
        <v>0</v>
      </c>
      <c r="PP6">
        <v>0</v>
      </c>
      <c r="PQ6">
        <v>-255246721</v>
      </c>
      <c r="PR6">
        <v>0</v>
      </c>
      <c r="PS6">
        <v>0</v>
      </c>
      <c r="PT6">
        <v>363429</v>
      </c>
      <c r="PU6">
        <v>-85542464</v>
      </c>
      <c r="PV6">
        <v>9693902</v>
      </c>
      <c r="PW6">
        <v>-8458898</v>
      </c>
      <c r="PX6">
        <v>-1149801</v>
      </c>
      <c r="PY6">
        <v>14059002</v>
      </c>
      <c r="PZ6">
        <v>76720215</v>
      </c>
      <c r="QA6">
        <v>0</v>
      </c>
      <c r="QB6">
        <v>-540101</v>
      </c>
      <c r="QC6">
        <v>0</v>
      </c>
      <c r="QD6">
        <v>0</v>
      </c>
      <c r="QE6">
        <v>0</v>
      </c>
      <c r="QF6">
        <v>0</v>
      </c>
      <c r="QG6">
        <v>0</v>
      </c>
      <c r="QH6">
        <v>0</v>
      </c>
      <c r="QI6">
        <v>93897679</v>
      </c>
      <c r="QJ6">
        <v>0</v>
      </c>
      <c r="QK6">
        <v>0</v>
      </c>
      <c r="QL6">
        <v>-18518400</v>
      </c>
      <c r="QM6">
        <v>-73718262</v>
      </c>
      <c r="QN6">
        <v>-9353776</v>
      </c>
      <c r="QO6">
        <v>0</v>
      </c>
      <c r="QP6">
        <v>0</v>
      </c>
      <c r="QQ6">
        <v>0</v>
      </c>
      <c r="QR6">
        <v>-155328</v>
      </c>
      <c r="QS6">
        <v>0</v>
      </c>
      <c r="QT6">
        <v>0</v>
      </c>
      <c r="QU6">
        <v>0</v>
      </c>
      <c r="QV6">
        <v>5285364</v>
      </c>
      <c r="QW6">
        <v>-110137</v>
      </c>
      <c r="QX6">
        <v>-7017978</v>
      </c>
      <c r="QY6">
        <v>-38890</v>
      </c>
      <c r="QZ6">
        <v>49089394</v>
      </c>
      <c r="RA6">
        <v>-7265483</v>
      </c>
      <c r="RB6">
        <v>0</v>
      </c>
      <c r="RC6">
        <v>0</v>
      </c>
      <c r="RD6">
        <v>0</v>
      </c>
      <c r="RE6">
        <v>0</v>
      </c>
      <c r="RF6">
        <v>0</v>
      </c>
      <c r="RG6">
        <v>322976</v>
      </c>
      <c r="RH6">
        <v>0</v>
      </c>
      <c r="RI6">
        <v>19810286</v>
      </c>
      <c r="RJ6">
        <v>0</v>
      </c>
      <c r="RK6">
        <v>0</v>
      </c>
      <c r="RL6">
        <v>0</v>
      </c>
      <c r="RM6">
        <v>0</v>
      </c>
      <c r="RN6">
        <v>0</v>
      </c>
      <c r="RO6">
        <v>0</v>
      </c>
      <c r="RP6">
        <v>0</v>
      </c>
      <c r="RQ6">
        <v>0</v>
      </c>
      <c r="RR6">
        <v>0</v>
      </c>
      <c r="RS6">
        <v>0</v>
      </c>
      <c r="RT6">
        <v>0</v>
      </c>
      <c r="RU6">
        <v>-174313878</v>
      </c>
      <c r="RV6">
        <v>0</v>
      </c>
      <c r="RW6">
        <v>0</v>
      </c>
      <c r="RX6">
        <v>0</v>
      </c>
      <c r="RY6">
        <v>0</v>
      </c>
      <c r="RZ6">
        <v>0</v>
      </c>
      <c r="SA6">
        <v>0</v>
      </c>
      <c r="SB6">
        <v>0</v>
      </c>
      <c r="SC6">
        <v>0</v>
      </c>
      <c r="SD6">
        <v>0</v>
      </c>
      <c r="SE6">
        <v>0</v>
      </c>
      <c r="SF6">
        <v>0</v>
      </c>
      <c r="SG6">
        <v>0</v>
      </c>
      <c r="SH6">
        <v>0</v>
      </c>
      <c r="SI6">
        <v>0</v>
      </c>
      <c r="SJ6">
        <v>0</v>
      </c>
      <c r="SK6">
        <v>0</v>
      </c>
      <c r="SL6">
        <v>0</v>
      </c>
      <c r="SM6">
        <v>0</v>
      </c>
      <c r="SN6">
        <v>0</v>
      </c>
      <c r="SO6">
        <v>0</v>
      </c>
      <c r="SP6">
        <v>0</v>
      </c>
      <c r="SQ6">
        <v>0</v>
      </c>
      <c r="SR6">
        <v>0</v>
      </c>
      <c r="SS6">
        <v>0</v>
      </c>
      <c r="ST6">
        <v>0</v>
      </c>
      <c r="SU6">
        <v>0</v>
      </c>
      <c r="SV6">
        <v>28200</v>
      </c>
      <c r="SW6">
        <v>0</v>
      </c>
      <c r="SX6">
        <v>0</v>
      </c>
      <c r="SY6">
        <v>0</v>
      </c>
      <c r="SZ6">
        <v>0</v>
      </c>
      <c r="TA6">
        <v>0</v>
      </c>
      <c r="TB6">
        <v>0</v>
      </c>
      <c r="TC6">
        <v>0</v>
      </c>
      <c r="TD6">
        <v>0</v>
      </c>
      <c r="TE6">
        <v>269690378</v>
      </c>
      <c r="TF6">
        <v>232850368</v>
      </c>
      <c r="TI6">
        <v>27910817</v>
      </c>
      <c r="TJ6">
        <v>-883288</v>
      </c>
      <c r="TK6">
        <v>2290949</v>
      </c>
      <c r="TL6">
        <v>10321951</v>
      </c>
      <c r="TM6">
        <v>8507</v>
      </c>
      <c r="TN6">
        <v>6247</v>
      </c>
      <c r="TO6">
        <v>252166</v>
      </c>
      <c r="TP6">
        <v>13500</v>
      </c>
      <c r="TQ6">
        <v>1348732</v>
      </c>
      <c r="TR6">
        <v>188095</v>
      </c>
      <c r="TS6">
        <v>0</v>
      </c>
      <c r="TT6">
        <v>13510</v>
      </c>
      <c r="TU6">
        <v>0</v>
      </c>
      <c r="TV6">
        <v>2483499</v>
      </c>
      <c r="TW6">
        <v>0</v>
      </c>
      <c r="TX6">
        <v>0</v>
      </c>
      <c r="TY6">
        <v>0</v>
      </c>
      <c r="TZ6">
        <v>0</v>
      </c>
      <c r="UA6">
        <v>0</v>
      </c>
      <c r="UB6">
        <v>0</v>
      </c>
      <c r="UC6">
        <v>0</v>
      </c>
      <c r="UD6">
        <v>0</v>
      </c>
      <c r="UE6">
        <v>693105</v>
      </c>
      <c r="UF6">
        <v>0</v>
      </c>
      <c r="UG6">
        <v>0</v>
      </c>
      <c r="UH6">
        <v>0</v>
      </c>
      <c r="UI6">
        <v>0</v>
      </c>
      <c r="UJ6">
        <v>0</v>
      </c>
      <c r="UK6">
        <v>0</v>
      </c>
      <c r="UL6">
        <v>0</v>
      </c>
      <c r="UM6">
        <v>3227619488</v>
      </c>
      <c r="UN6">
        <v>1919470517</v>
      </c>
      <c r="UO6">
        <v>951791832</v>
      </c>
      <c r="UP6">
        <v>363136707</v>
      </c>
      <c r="UQ6">
        <v>31194857</v>
      </c>
      <c r="UR6">
        <v>1210667716</v>
      </c>
      <c r="US6">
        <v>23866871</v>
      </c>
      <c r="UT6">
        <v>4004422</v>
      </c>
      <c r="UU6">
        <v>70995819</v>
      </c>
      <c r="UV6">
        <v>83724272</v>
      </c>
      <c r="UW6">
        <v>4460128</v>
      </c>
      <c r="UX6">
        <v>24066743</v>
      </c>
      <c r="UY6">
        <v>77370136</v>
      </c>
      <c r="UZ6">
        <v>39942270</v>
      </c>
      <c r="VC6" t="s">
        <v>1596</v>
      </c>
      <c r="VD6" t="s">
        <v>1597</v>
      </c>
      <c r="VE6" s="638" t="s">
        <v>1598</v>
      </c>
    </row>
    <row r="7" spans="1:577" ht="48.75" customHeight="1" thickBot="1">
      <c r="A7" s="447">
        <v>400</v>
      </c>
      <c r="B7" s="445" t="s">
        <v>97</v>
      </c>
      <c r="C7" s="446" t="s">
        <v>329</v>
      </c>
      <c r="D7" t="s">
        <v>1421</v>
      </c>
      <c r="E7" s="859">
        <v>104952</v>
      </c>
      <c r="F7" s="534">
        <v>12742625358</v>
      </c>
      <c r="G7" s="491" t="s">
        <v>1422</v>
      </c>
      <c r="H7" t="s">
        <v>97</v>
      </c>
      <c r="M7">
        <v>369420210</v>
      </c>
      <c r="N7">
        <v>0</v>
      </c>
      <c r="O7">
        <v>0</v>
      </c>
      <c r="P7">
        <v>0</v>
      </c>
      <c r="Q7">
        <v>0</v>
      </c>
      <c r="R7">
        <v>0</v>
      </c>
      <c r="S7">
        <v>0</v>
      </c>
      <c r="T7">
        <v>0</v>
      </c>
      <c r="U7">
        <v>0</v>
      </c>
      <c r="V7">
        <v>45000</v>
      </c>
      <c r="W7">
        <v>408593</v>
      </c>
      <c r="X7">
        <v>0</v>
      </c>
      <c r="Y7">
        <v>10509297</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-1254239</v>
      </c>
      <c r="BG7">
        <v>-11940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13564320</v>
      </c>
      <c r="CQ7">
        <v>21971010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-203519</v>
      </c>
      <c r="DR7">
        <v>-463868</v>
      </c>
      <c r="DS7">
        <v>0</v>
      </c>
      <c r="DT7">
        <v>0</v>
      </c>
      <c r="DU7">
        <v>0</v>
      </c>
      <c r="DV7">
        <v>0</v>
      </c>
      <c r="DW7">
        <v>0</v>
      </c>
      <c r="DX7">
        <v>0</v>
      </c>
      <c r="DY7">
        <v>0</v>
      </c>
      <c r="DZ7">
        <v>0</v>
      </c>
      <c r="EA7">
        <v>0</v>
      </c>
      <c r="EB7">
        <v>0</v>
      </c>
      <c r="EC7">
        <v>0</v>
      </c>
      <c r="ED7">
        <v>0</v>
      </c>
      <c r="EE7">
        <v>0</v>
      </c>
      <c r="EF7">
        <v>0</v>
      </c>
      <c r="EG7">
        <v>0</v>
      </c>
      <c r="EH7">
        <v>0</v>
      </c>
      <c r="EI7">
        <v>-1135126</v>
      </c>
      <c r="EJ7">
        <v>-642755</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477290</v>
      </c>
      <c r="GC7">
        <v>7521089</v>
      </c>
      <c r="GD7">
        <v>541517</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0</v>
      </c>
      <c r="HL7">
        <v>0</v>
      </c>
      <c r="HM7">
        <v>0</v>
      </c>
      <c r="HN7">
        <v>0</v>
      </c>
      <c r="HO7">
        <v>0</v>
      </c>
      <c r="HP7">
        <v>0</v>
      </c>
      <c r="HQ7">
        <v>0</v>
      </c>
      <c r="HR7">
        <v>0</v>
      </c>
      <c r="HS7">
        <v>0</v>
      </c>
      <c r="HT7">
        <v>0</v>
      </c>
      <c r="HU7">
        <v>-33874</v>
      </c>
      <c r="HV7">
        <v>-220027</v>
      </c>
      <c r="HW7">
        <v>-7095</v>
      </c>
      <c r="HX7">
        <v>0</v>
      </c>
      <c r="HY7">
        <v>0</v>
      </c>
      <c r="HZ7">
        <v>0</v>
      </c>
      <c r="IA7">
        <v>0</v>
      </c>
      <c r="IB7">
        <v>0</v>
      </c>
      <c r="IC7">
        <v>0</v>
      </c>
      <c r="ID7">
        <v>0</v>
      </c>
      <c r="IE7">
        <v>33605469</v>
      </c>
      <c r="IF7">
        <v>0</v>
      </c>
      <c r="IG7">
        <v>96491208</v>
      </c>
      <c r="IH7">
        <v>0</v>
      </c>
      <c r="II7">
        <v>0</v>
      </c>
      <c r="IJ7">
        <v>-352845</v>
      </c>
      <c r="IK7">
        <v>0</v>
      </c>
      <c r="IL7">
        <v>0</v>
      </c>
      <c r="IM7">
        <v>0</v>
      </c>
      <c r="IN7">
        <v>199548093</v>
      </c>
      <c r="IO7">
        <v>0</v>
      </c>
      <c r="IP7">
        <v>0</v>
      </c>
      <c r="IQ7">
        <v>0</v>
      </c>
      <c r="IR7">
        <v>0</v>
      </c>
      <c r="IS7">
        <v>0</v>
      </c>
      <c r="IT7">
        <v>0</v>
      </c>
      <c r="IU7">
        <v>0</v>
      </c>
      <c r="IV7">
        <v>622743743</v>
      </c>
      <c r="IW7">
        <v>571689453</v>
      </c>
      <c r="IX7">
        <v>0</v>
      </c>
      <c r="IY7">
        <v>0</v>
      </c>
      <c r="IZ7">
        <v>0</v>
      </c>
      <c r="JA7">
        <v>0</v>
      </c>
      <c r="JB7">
        <v>0</v>
      </c>
      <c r="JC7">
        <v>0</v>
      </c>
      <c r="JD7">
        <v>0</v>
      </c>
      <c r="JE7">
        <v>3096861</v>
      </c>
      <c r="JF7">
        <v>30933411</v>
      </c>
      <c r="JG7">
        <v>0</v>
      </c>
      <c r="JH7">
        <v>25439577</v>
      </c>
      <c r="JI7">
        <v>71008</v>
      </c>
      <c r="JJ7">
        <v>805334</v>
      </c>
      <c r="JK7">
        <v>3094</v>
      </c>
      <c r="JL7">
        <v>0</v>
      </c>
      <c r="JM7">
        <v>0</v>
      </c>
      <c r="JN7">
        <v>15000</v>
      </c>
      <c r="JO7">
        <v>554766</v>
      </c>
      <c r="JP7">
        <v>0</v>
      </c>
      <c r="JQ7">
        <v>476501</v>
      </c>
      <c r="JR7">
        <v>0</v>
      </c>
      <c r="JS7">
        <v>0</v>
      </c>
      <c r="JT7">
        <v>0</v>
      </c>
      <c r="JU7">
        <v>0</v>
      </c>
      <c r="JV7">
        <v>0</v>
      </c>
      <c r="JW7">
        <v>1693912</v>
      </c>
      <c r="JX7">
        <v>46363708</v>
      </c>
      <c r="JY7">
        <v>490621</v>
      </c>
      <c r="JZ7">
        <v>22714017</v>
      </c>
      <c r="KA7">
        <v>0</v>
      </c>
      <c r="KB7">
        <v>0</v>
      </c>
      <c r="KC7">
        <v>62260041</v>
      </c>
      <c r="KD7">
        <v>0</v>
      </c>
      <c r="KE7">
        <v>0</v>
      </c>
      <c r="KF7">
        <v>0</v>
      </c>
      <c r="KG7">
        <v>2335193</v>
      </c>
      <c r="KH7">
        <v>0</v>
      </c>
      <c r="KI7">
        <v>11116622</v>
      </c>
      <c r="KJ7">
        <v>0</v>
      </c>
      <c r="KK7">
        <v>0</v>
      </c>
      <c r="KL7">
        <v>0</v>
      </c>
      <c r="KM7">
        <v>0</v>
      </c>
      <c r="KN7">
        <v>0</v>
      </c>
      <c r="KO7">
        <v>0</v>
      </c>
      <c r="KP7">
        <v>0</v>
      </c>
      <c r="KQ7">
        <v>12933001</v>
      </c>
      <c r="KR7">
        <v>0</v>
      </c>
      <c r="KS7">
        <v>0</v>
      </c>
      <c r="KT7">
        <v>0</v>
      </c>
      <c r="KU7">
        <v>0</v>
      </c>
      <c r="KV7">
        <v>0</v>
      </c>
      <c r="KW7">
        <v>0</v>
      </c>
      <c r="KX7">
        <v>28307704</v>
      </c>
      <c r="KY7">
        <v>16890308</v>
      </c>
      <c r="KZ7">
        <v>0</v>
      </c>
      <c r="LA7">
        <v>1109291</v>
      </c>
      <c r="LB7">
        <v>166051</v>
      </c>
      <c r="LC7">
        <v>0</v>
      </c>
      <c r="LD7">
        <v>11668456</v>
      </c>
      <c r="LE7">
        <v>0</v>
      </c>
      <c r="LF7">
        <v>-2187020</v>
      </c>
      <c r="LG7">
        <v>80955545</v>
      </c>
      <c r="LH7">
        <v>238544220</v>
      </c>
      <c r="LI7">
        <v>0</v>
      </c>
      <c r="LJ7">
        <v>17710832</v>
      </c>
      <c r="LK7">
        <v>0</v>
      </c>
      <c r="LL7">
        <v>0</v>
      </c>
      <c r="LM7">
        <v>0</v>
      </c>
      <c r="LN7">
        <v>0</v>
      </c>
      <c r="LO7">
        <v>0</v>
      </c>
      <c r="LP7">
        <v>641805</v>
      </c>
      <c r="LQ7">
        <v>16850570</v>
      </c>
      <c r="LR7">
        <v>0</v>
      </c>
      <c r="LS7">
        <v>93143395</v>
      </c>
      <c r="LT7">
        <v>0</v>
      </c>
      <c r="LU7">
        <v>0</v>
      </c>
      <c r="LV7">
        <v>0</v>
      </c>
      <c r="LW7">
        <v>0</v>
      </c>
      <c r="LX7">
        <v>0</v>
      </c>
      <c r="LY7">
        <v>1859209</v>
      </c>
      <c r="LZ7">
        <v>3028303</v>
      </c>
      <c r="MA7">
        <v>0</v>
      </c>
      <c r="MB7">
        <v>13307813</v>
      </c>
      <c r="MC7">
        <v>0</v>
      </c>
      <c r="MD7">
        <v>0</v>
      </c>
      <c r="ME7">
        <v>0</v>
      </c>
      <c r="MF7">
        <v>0</v>
      </c>
      <c r="MG7">
        <v>0</v>
      </c>
      <c r="MH7">
        <v>643659271</v>
      </c>
      <c r="MI7">
        <v>625199320</v>
      </c>
      <c r="MJ7">
        <v>0</v>
      </c>
      <c r="MK7">
        <v>21138824</v>
      </c>
      <c r="ML7">
        <v>0</v>
      </c>
      <c r="MM7">
        <v>0</v>
      </c>
      <c r="MN7">
        <v>0</v>
      </c>
      <c r="MO7">
        <v>0</v>
      </c>
      <c r="MP7">
        <v>0</v>
      </c>
      <c r="MQ7">
        <v>18681497</v>
      </c>
      <c r="MR7">
        <v>15456785</v>
      </c>
      <c r="MS7">
        <v>0</v>
      </c>
      <c r="MT7">
        <v>1121481</v>
      </c>
      <c r="MU7">
        <v>0</v>
      </c>
      <c r="MV7">
        <v>0</v>
      </c>
      <c r="MW7">
        <v>0</v>
      </c>
      <c r="MX7">
        <v>0</v>
      </c>
      <c r="MY7">
        <v>0</v>
      </c>
      <c r="MZ7">
        <v>4366417</v>
      </c>
      <c r="NA7">
        <v>2015003</v>
      </c>
      <c r="NB7">
        <v>0</v>
      </c>
      <c r="NC7">
        <v>335063</v>
      </c>
      <c r="ND7">
        <v>2000</v>
      </c>
      <c r="NE7">
        <v>0</v>
      </c>
      <c r="NF7">
        <v>0</v>
      </c>
      <c r="NG7">
        <v>0</v>
      </c>
      <c r="NH7">
        <v>0</v>
      </c>
      <c r="NI7">
        <v>59528608</v>
      </c>
      <c r="NJ7">
        <v>25859227</v>
      </c>
      <c r="NK7">
        <v>0</v>
      </c>
      <c r="NL7">
        <v>1702703</v>
      </c>
      <c r="NM7">
        <v>0</v>
      </c>
      <c r="NN7">
        <v>0</v>
      </c>
      <c r="NO7">
        <v>0</v>
      </c>
      <c r="NP7">
        <v>0</v>
      </c>
      <c r="NQ7">
        <v>0</v>
      </c>
      <c r="NR7">
        <v>40654062</v>
      </c>
      <c r="NS7">
        <v>5968890</v>
      </c>
      <c r="NT7">
        <v>0</v>
      </c>
      <c r="NU7">
        <v>3903329</v>
      </c>
      <c r="NV7">
        <v>0</v>
      </c>
      <c r="NW7">
        <v>0</v>
      </c>
      <c r="NX7">
        <v>8529794</v>
      </c>
      <c r="NY7">
        <v>0</v>
      </c>
      <c r="NZ7">
        <v>0</v>
      </c>
      <c r="OA7">
        <v>30000</v>
      </c>
      <c r="OB7">
        <v>2083250</v>
      </c>
      <c r="OC7">
        <v>0</v>
      </c>
      <c r="OD7">
        <v>5900057</v>
      </c>
      <c r="OE7">
        <v>0</v>
      </c>
      <c r="OF7">
        <v>0</v>
      </c>
      <c r="OG7">
        <v>0</v>
      </c>
      <c r="OH7">
        <v>0</v>
      </c>
      <c r="OI7">
        <v>0</v>
      </c>
      <c r="OJ7">
        <v>0</v>
      </c>
      <c r="OK7">
        <v>225327</v>
      </c>
      <c r="OL7">
        <v>11353676</v>
      </c>
      <c r="OM7">
        <v>356902</v>
      </c>
      <c r="ON7">
        <v>0</v>
      </c>
      <c r="OO7">
        <v>0</v>
      </c>
      <c r="OP7">
        <v>0</v>
      </c>
      <c r="OQ7">
        <v>0</v>
      </c>
      <c r="OR7">
        <v>0</v>
      </c>
      <c r="OS7">
        <v>5903138</v>
      </c>
      <c r="OT7">
        <v>8330591</v>
      </c>
      <c r="OU7">
        <v>0</v>
      </c>
      <c r="OV7">
        <v>4407737</v>
      </c>
      <c r="OW7">
        <v>0</v>
      </c>
      <c r="OX7">
        <v>0</v>
      </c>
      <c r="OY7">
        <v>0</v>
      </c>
      <c r="OZ7">
        <v>0</v>
      </c>
      <c r="PA7">
        <v>0</v>
      </c>
      <c r="PB7">
        <v>193474</v>
      </c>
      <c r="PC7">
        <v>805683</v>
      </c>
      <c r="PD7">
        <v>0</v>
      </c>
      <c r="PE7">
        <v>27867</v>
      </c>
      <c r="PF7">
        <v>1585469</v>
      </c>
      <c r="PG7">
        <v>0</v>
      </c>
      <c r="PH7">
        <v>1452288</v>
      </c>
      <c r="PI7">
        <v>0</v>
      </c>
      <c r="PJ7">
        <v>0</v>
      </c>
      <c r="PK7">
        <v>0</v>
      </c>
      <c r="PL7">
        <v>0</v>
      </c>
      <c r="PM7">
        <v>0</v>
      </c>
      <c r="PN7">
        <v>0</v>
      </c>
      <c r="PO7">
        <v>0</v>
      </c>
      <c r="PP7">
        <v>0</v>
      </c>
      <c r="PQ7">
        <v>-288711367</v>
      </c>
      <c r="PR7">
        <v>0</v>
      </c>
      <c r="PS7">
        <v>0</v>
      </c>
      <c r="PT7">
        <v>-126571992</v>
      </c>
      <c r="PU7">
        <v>65683863</v>
      </c>
      <c r="PV7">
        <v>-230000</v>
      </c>
      <c r="PW7">
        <v>-3743390</v>
      </c>
      <c r="PX7">
        <v>42765</v>
      </c>
      <c r="PY7">
        <v>4098694</v>
      </c>
      <c r="PZ7">
        <v>61965621</v>
      </c>
      <c r="QA7">
        <v>0</v>
      </c>
      <c r="QB7">
        <v>-308472</v>
      </c>
      <c r="QC7">
        <v>0</v>
      </c>
      <c r="QD7">
        <v>0</v>
      </c>
      <c r="QE7">
        <v>0</v>
      </c>
      <c r="QF7">
        <v>0</v>
      </c>
      <c r="QG7">
        <v>0</v>
      </c>
      <c r="QH7">
        <v>0</v>
      </c>
      <c r="QI7">
        <v>140645940</v>
      </c>
      <c r="QJ7">
        <v>0</v>
      </c>
      <c r="QK7">
        <v>0</v>
      </c>
      <c r="QL7">
        <v>-67593955</v>
      </c>
      <c r="QM7">
        <v>-4987662</v>
      </c>
      <c r="QN7">
        <v>-1370566</v>
      </c>
      <c r="QO7">
        <v>0</v>
      </c>
      <c r="QP7">
        <v>0</v>
      </c>
      <c r="QQ7">
        <v>0</v>
      </c>
      <c r="QR7">
        <v>-10357900</v>
      </c>
      <c r="QS7">
        <v>0</v>
      </c>
      <c r="QT7">
        <v>0</v>
      </c>
      <c r="QU7">
        <v>50663</v>
      </c>
      <c r="QV7">
        <v>74594</v>
      </c>
      <c r="QW7">
        <v>0</v>
      </c>
      <c r="QX7">
        <v>0</v>
      </c>
      <c r="QY7">
        <v>0</v>
      </c>
      <c r="QZ7">
        <v>26642981</v>
      </c>
      <c r="RA7">
        <v>0</v>
      </c>
      <c r="RB7">
        <v>0</v>
      </c>
      <c r="RC7">
        <v>0</v>
      </c>
      <c r="RD7">
        <v>0</v>
      </c>
      <c r="RE7">
        <v>0</v>
      </c>
      <c r="RF7">
        <v>0</v>
      </c>
      <c r="RG7">
        <v>114350</v>
      </c>
      <c r="RH7">
        <v>0</v>
      </c>
      <c r="RI7">
        <v>3726509</v>
      </c>
      <c r="RJ7">
        <v>0</v>
      </c>
      <c r="RK7">
        <v>0</v>
      </c>
      <c r="RL7">
        <v>0</v>
      </c>
      <c r="RM7">
        <v>0</v>
      </c>
      <c r="RN7">
        <v>0</v>
      </c>
      <c r="RO7">
        <v>0</v>
      </c>
      <c r="RP7">
        <v>0</v>
      </c>
      <c r="RQ7">
        <v>0</v>
      </c>
      <c r="RR7">
        <v>0</v>
      </c>
      <c r="RS7">
        <v>0</v>
      </c>
      <c r="RT7">
        <v>0</v>
      </c>
      <c r="RU7">
        <v>-158831879</v>
      </c>
      <c r="RV7">
        <v>0</v>
      </c>
      <c r="RW7">
        <v>0</v>
      </c>
      <c r="RX7">
        <v>0</v>
      </c>
      <c r="RY7">
        <v>0</v>
      </c>
      <c r="RZ7">
        <v>0</v>
      </c>
      <c r="SA7">
        <v>0</v>
      </c>
      <c r="SB7">
        <v>0</v>
      </c>
      <c r="SC7">
        <v>0</v>
      </c>
      <c r="SD7">
        <v>0</v>
      </c>
      <c r="SE7">
        <v>0</v>
      </c>
      <c r="SF7">
        <v>0</v>
      </c>
      <c r="SG7">
        <v>0</v>
      </c>
      <c r="SH7">
        <v>0</v>
      </c>
      <c r="SI7">
        <v>0</v>
      </c>
      <c r="SJ7">
        <v>0</v>
      </c>
      <c r="SK7">
        <v>0</v>
      </c>
      <c r="SL7">
        <v>0</v>
      </c>
      <c r="SM7">
        <v>0</v>
      </c>
      <c r="SN7">
        <v>0</v>
      </c>
      <c r="SO7">
        <v>0</v>
      </c>
      <c r="SP7">
        <v>0</v>
      </c>
      <c r="SQ7">
        <v>0</v>
      </c>
      <c r="SR7">
        <v>0</v>
      </c>
      <c r="SS7">
        <v>0</v>
      </c>
      <c r="ST7">
        <v>0</v>
      </c>
      <c r="SU7">
        <v>0</v>
      </c>
      <c r="SV7">
        <v>0</v>
      </c>
      <c r="SW7">
        <v>0</v>
      </c>
      <c r="SX7">
        <v>0</v>
      </c>
      <c r="SY7">
        <v>0</v>
      </c>
      <c r="SZ7">
        <v>0</v>
      </c>
      <c r="TA7">
        <v>0</v>
      </c>
      <c r="TB7">
        <v>0</v>
      </c>
      <c r="TC7">
        <v>0</v>
      </c>
      <c r="TD7">
        <v>0</v>
      </c>
      <c r="TE7">
        <v>307352833</v>
      </c>
      <c r="TF7">
        <v>183606845</v>
      </c>
      <c r="TI7">
        <v>44075226</v>
      </c>
      <c r="TJ7">
        <v>-2706264</v>
      </c>
      <c r="TK7">
        <v>351555</v>
      </c>
      <c r="TL7">
        <v>4975629</v>
      </c>
      <c r="TM7">
        <v>0</v>
      </c>
      <c r="TN7">
        <v>742578</v>
      </c>
      <c r="TO7">
        <v>7180</v>
      </c>
      <c r="TP7">
        <v>0</v>
      </c>
      <c r="TQ7">
        <v>1738570</v>
      </c>
      <c r="TR7">
        <v>10788083</v>
      </c>
      <c r="TS7">
        <v>37871</v>
      </c>
      <c r="TT7">
        <v>0</v>
      </c>
      <c r="TU7">
        <v>175165</v>
      </c>
      <c r="TV7">
        <v>1885465</v>
      </c>
      <c r="TW7">
        <v>0</v>
      </c>
      <c r="TX7">
        <v>0</v>
      </c>
      <c r="TY7">
        <v>0</v>
      </c>
      <c r="TZ7">
        <v>0</v>
      </c>
      <c r="UA7">
        <v>0</v>
      </c>
      <c r="UB7">
        <v>0</v>
      </c>
      <c r="UC7">
        <v>0</v>
      </c>
      <c r="UD7">
        <v>0</v>
      </c>
      <c r="UE7">
        <v>1031999</v>
      </c>
      <c r="UF7">
        <v>0</v>
      </c>
      <c r="UG7">
        <v>0</v>
      </c>
      <c r="UH7">
        <v>0</v>
      </c>
      <c r="UI7">
        <v>0</v>
      </c>
      <c r="UJ7">
        <v>0</v>
      </c>
      <c r="UK7">
        <v>0</v>
      </c>
      <c r="UL7">
        <v>0</v>
      </c>
      <c r="UM7">
        <v>3769452987</v>
      </c>
      <c r="UN7">
        <v>2575019791</v>
      </c>
      <c r="UO7">
        <v>337210597</v>
      </c>
      <c r="UP7">
        <v>110635770</v>
      </c>
      <c r="UQ7">
        <v>18195325</v>
      </c>
      <c r="UR7">
        <v>1289997415</v>
      </c>
      <c r="US7">
        <v>35259763</v>
      </c>
      <c r="UT7">
        <v>6718483</v>
      </c>
      <c r="UU7">
        <v>87090538</v>
      </c>
      <c r="UV7">
        <v>59056075</v>
      </c>
      <c r="UW7">
        <v>8013307</v>
      </c>
      <c r="UX7">
        <v>11935905</v>
      </c>
      <c r="UY7">
        <v>4476794</v>
      </c>
      <c r="UZ7">
        <v>26768238</v>
      </c>
      <c r="VC7" t="s">
        <v>1611</v>
      </c>
      <c r="VD7" t="s">
        <v>1612</v>
      </c>
      <c r="VE7" s="638" t="s">
        <v>1613</v>
      </c>
    </row>
    <row r="8" spans="1:577" ht="48.75" customHeight="1" thickBot="1">
      <c r="A8" s="447">
        <v>410</v>
      </c>
      <c r="B8" s="445" t="s">
        <v>98</v>
      </c>
      <c r="C8" s="446" t="s">
        <v>330</v>
      </c>
      <c r="D8" t="s">
        <v>1421</v>
      </c>
      <c r="E8" s="859">
        <v>11618</v>
      </c>
      <c r="F8" s="534">
        <v>5016928275</v>
      </c>
      <c r="G8" s="491" t="s">
        <v>1422</v>
      </c>
      <c r="H8" t="s">
        <v>98</v>
      </c>
      <c r="M8">
        <v>214802895</v>
      </c>
      <c r="N8">
        <v>0</v>
      </c>
      <c r="O8">
        <v>0</v>
      </c>
      <c r="P8">
        <v>0</v>
      </c>
      <c r="Q8">
        <v>0</v>
      </c>
      <c r="R8">
        <v>0</v>
      </c>
      <c r="S8">
        <v>0</v>
      </c>
      <c r="T8">
        <v>0</v>
      </c>
      <c r="U8">
        <v>0</v>
      </c>
      <c r="V8">
        <v>5688124</v>
      </c>
      <c r="W8">
        <v>365243</v>
      </c>
      <c r="X8">
        <v>0</v>
      </c>
      <c r="Y8">
        <v>12757514</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-7119849</v>
      </c>
      <c r="BG8">
        <v>-62145</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24234442</v>
      </c>
      <c r="CQ8">
        <v>22067233</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-292964</v>
      </c>
      <c r="DR8">
        <v>-200586</v>
      </c>
      <c r="DS8">
        <v>0</v>
      </c>
      <c r="DT8">
        <v>0</v>
      </c>
      <c r="DU8">
        <v>0</v>
      </c>
      <c r="DV8">
        <v>0</v>
      </c>
      <c r="DW8">
        <v>0</v>
      </c>
      <c r="DX8">
        <v>0</v>
      </c>
      <c r="DY8">
        <v>0</v>
      </c>
      <c r="DZ8">
        <v>0</v>
      </c>
      <c r="EA8">
        <v>0</v>
      </c>
      <c r="EB8">
        <v>0</v>
      </c>
      <c r="EC8">
        <v>0</v>
      </c>
      <c r="ED8">
        <v>0</v>
      </c>
      <c r="EE8">
        <v>0</v>
      </c>
      <c r="EF8">
        <v>0</v>
      </c>
      <c r="EG8">
        <v>0</v>
      </c>
      <c r="EH8">
        <v>0</v>
      </c>
      <c r="EI8">
        <v>-468323</v>
      </c>
      <c r="EJ8">
        <v>-216594</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196506</v>
      </c>
      <c r="GC8">
        <v>9109184</v>
      </c>
      <c r="GD8">
        <v>2489037</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-218502</v>
      </c>
      <c r="HE8">
        <v>-11928</v>
      </c>
      <c r="HF8">
        <v>0</v>
      </c>
      <c r="HG8">
        <v>0</v>
      </c>
      <c r="HH8">
        <v>0</v>
      </c>
      <c r="HI8">
        <v>0</v>
      </c>
      <c r="HJ8">
        <v>0</v>
      </c>
      <c r="HK8">
        <v>0</v>
      </c>
      <c r="HL8">
        <v>0</v>
      </c>
      <c r="HM8">
        <v>0</v>
      </c>
      <c r="HN8">
        <v>0</v>
      </c>
      <c r="HO8">
        <v>0</v>
      </c>
      <c r="HP8">
        <v>0</v>
      </c>
      <c r="HQ8">
        <v>0</v>
      </c>
      <c r="HR8">
        <v>0</v>
      </c>
      <c r="HS8">
        <v>0</v>
      </c>
      <c r="HT8">
        <v>0</v>
      </c>
      <c r="HU8">
        <v>0</v>
      </c>
      <c r="HV8">
        <v>0</v>
      </c>
      <c r="HW8">
        <v>-50563</v>
      </c>
      <c r="HX8">
        <v>0</v>
      </c>
      <c r="HY8">
        <v>0</v>
      </c>
      <c r="HZ8">
        <v>0</v>
      </c>
      <c r="IA8">
        <v>0</v>
      </c>
      <c r="IB8">
        <v>0</v>
      </c>
      <c r="IC8">
        <v>0</v>
      </c>
      <c r="ID8">
        <v>0</v>
      </c>
      <c r="IE8">
        <v>37643860</v>
      </c>
      <c r="IF8">
        <v>0</v>
      </c>
      <c r="IG8">
        <v>118728483</v>
      </c>
      <c r="IH8">
        <v>0</v>
      </c>
      <c r="II8">
        <v>0</v>
      </c>
      <c r="IJ8">
        <v>0</v>
      </c>
      <c r="IK8">
        <v>0</v>
      </c>
      <c r="IL8">
        <v>0</v>
      </c>
      <c r="IM8">
        <v>0</v>
      </c>
      <c r="IN8">
        <v>368873422</v>
      </c>
      <c r="IO8">
        <v>0</v>
      </c>
      <c r="IP8">
        <v>0</v>
      </c>
      <c r="IQ8">
        <v>0</v>
      </c>
      <c r="IR8">
        <v>0</v>
      </c>
      <c r="IS8">
        <v>0</v>
      </c>
      <c r="IT8">
        <v>0</v>
      </c>
      <c r="IU8">
        <v>0</v>
      </c>
      <c r="IV8">
        <v>46845317</v>
      </c>
      <c r="IW8">
        <v>25140503</v>
      </c>
      <c r="IX8">
        <v>0</v>
      </c>
      <c r="IY8">
        <v>0</v>
      </c>
      <c r="IZ8">
        <v>0</v>
      </c>
      <c r="JA8">
        <v>0</v>
      </c>
      <c r="JB8">
        <v>0</v>
      </c>
      <c r="JC8">
        <v>0</v>
      </c>
      <c r="JD8">
        <v>0</v>
      </c>
      <c r="JE8">
        <v>3098516</v>
      </c>
      <c r="JF8">
        <v>30367423</v>
      </c>
      <c r="JG8">
        <v>875859</v>
      </c>
      <c r="JH8">
        <v>20632408</v>
      </c>
      <c r="JI8">
        <v>157130</v>
      </c>
      <c r="JJ8">
        <v>1429472</v>
      </c>
      <c r="JK8">
        <v>610648</v>
      </c>
      <c r="JL8">
        <v>0</v>
      </c>
      <c r="JM8">
        <v>0</v>
      </c>
      <c r="JN8">
        <v>0</v>
      </c>
      <c r="JO8">
        <v>418521842</v>
      </c>
      <c r="JP8">
        <v>0</v>
      </c>
      <c r="JQ8">
        <v>17857540</v>
      </c>
      <c r="JR8">
        <v>0</v>
      </c>
      <c r="JS8">
        <v>0</v>
      </c>
      <c r="JT8">
        <v>0</v>
      </c>
      <c r="JU8">
        <v>0</v>
      </c>
      <c r="JV8">
        <v>0</v>
      </c>
      <c r="JW8">
        <v>0</v>
      </c>
      <c r="JX8">
        <v>69333407</v>
      </c>
      <c r="JY8">
        <v>0</v>
      </c>
      <c r="JZ8">
        <v>95048666</v>
      </c>
      <c r="KA8">
        <v>0</v>
      </c>
      <c r="KB8">
        <v>0</v>
      </c>
      <c r="KC8">
        <v>15520</v>
      </c>
      <c r="KD8">
        <v>0</v>
      </c>
      <c r="KE8">
        <v>0</v>
      </c>
      <c r="KF8">
        <v>7881561</v>
      </c>
      <c r="KG8">
        <v>14703025</v>
      </c>
      <c r="KH8">
        <v>0</v>
      </c>
      <c r="KI8">
        <v>14995281</v>
      </c>
      <c r="KJ8">
        <v>0</v>
      </c>
      <c r="KK8">
        <v>0</v>
      </c>
      <c r="KL8">
        <v>0</v>
      </c>
      <c r="KM8">
        <v>0</v>
      </c>
      <c r="KN8">
        <v>0</v>
      </c>
      <c r="KO8">
        <v>0</v>
      </c>
      <c r="KP8">
        <v>0</v>
      </c>
      <c r="KQ8">
        <v>27162590</v>
      </c>
      <c r="KR8">
        <v>0</v>
      </c>
      <c r="KS8">
        <v>0</v>
      </c>
      <c r="KT8">
        <v>0</v>
      </c>
      <c r="KU8">
        <v>0</v>
      </c>
      <c r="KV8">
        <v>0</v>
      </c>
      <c r="KW8">
        <v>0</v>
      </c>
      <c r="KX8">
        <v>765788</v>
      </c>
      <c r="KY8">
        <v>74105723</v>
      </c>
      <c r="KZ8">
        <v>0</v>
      </c>
      <c r="LA8">
        <v>1260062</v>
      </c>
      <c r="LB8">
        <v>265755</v>
      </c>
      <c r="LC8">
        <v>0</v>
      </c>
      <c r="LD8">
        <v>0</v>
      </c>
      <c r="LE8">
        <v>0</v>
      </c>
      <c r="LF8">
        <v>-427889</v>
      </c>
      <c r="LG8">
        <v>103649086</v>
      </c>
      <c r="LH8">
        <v>603180949</v>
      </c>
      <c r="LI8">
        <v>0</v>
      </c>
      <c r="LJ8">
        <v>10254849</v>
      </c>
      <c r="LK8">
        <v>0</v>
      </c>
      <c r="LL8">
        <v>0</v>
      </c>
      <c r="LM8">
        <v>0</v>
      </c>
      <c r="LN8">
        <v>0</v>
      </c>
      <c r="LO8">
        <v>0</v>
      </c>
      <c r="LP8">
        <v>22810709</v>
      </c>
      <c r="LQ8">
        <v>22452844</v>
      </c>
      <c r="LR8">
        <v>0</v>
      </c>
      <c r="LS8">
        <v>153784999</v>
      </c>
      <c r="LT8">
        <v>0</v>
      </c>
      <c r="LU8">
        <v>0</v>
      </c>
      <c r="LV8">
        <v>0</v>
      </c>
      <c r="LW8">
        <v>0</v>
      </c>
      <c r="LX8">
        <v>0</v>
      </c>
      <c r="LY8">
        <v>506845</v>
      </c>
      <c r="LZ8">
        <v>3622981</v>
      </c>
      <c r="MA8">
        <v>0</v>
      </c>
      <c r="MB8">
        <v>27305733</v>
      </c>
      <c r="MC8">
        <v>0</v>
      </c>
      <c r="MD8">
        <v>0</v>
      </c>
      <c r="ME8">
        <v>0</v>
      </c>
      <c r="MF8">
        <v>0</v>
      </c>
      <c r="MG8">
        <v>0</v>
      </c>
      <c r="MH8">
        <v>56301982</v>
      </c>
      <c r="MI8">
        <v>374263970</v>
      </c>
      <c r="MJ8">
        <v>0</v>
      </c>
      <c r="MK8">
        <v>72450</v>
      </c>
      <c r="ML8">
        <v>0</v>
      </c>
      <c r="MM8">
        <v>0</v>
      </c>
      <c r="MN8">
        <v>0</v>
      </c>
      <c r="MO8">
        <v>0</v>
      </c>
      <c r="MP8">
        <v>0</v>
      </c>
      <c r="MQ8">
        <v>27480374</v>
      </c>
      <c r="MR8">
        <v>24986850</v>
      </c>
      <c r="MS8">
        <v>0</v>
      </c>
      <c r="MT8">
        <v>2873669</v>
      </c>
      <c r="MU8">
        <v>0</v>
      </c>
      <c r="MV8">
        <v>0</v>
      </c>
      <c r="MW8">
        <v>0</v>
      </c>
      <c r="MX8">
        <v>0</v>
      </c>
      <c r="MY8">
        <v>0</v>
      </c>
      <c r="MZ8">
        <v>2378205</v>
      </c>
      <c r="NA8">
        <v>5297903</v>
      </c>
      <c r="NB8">
        <v>0</v>
      </c>
      <c r="NC8">
        <v>1401737</v>
      </c>
      <c r="ND8">
        <v>72465</v>
      </c>
      <c r="NE8">
        <v>0</v>
      </c>
      <c r="NF8">
        <v>0</v>
      </c>
      <c r="NG8">
        <v>0</v>
      </c>
      <c r="NH8">
        <v>0</v>
      </c>
      <c r="NI8">
        <v>33668897</v>
      </c>
      <c r="NJ8">
        <v>41133787</v>
      </c>
      <c r="NK8">
        <v>0</v>
      </c>
      <c r="NL8">
        <v>2335162</v>
      </c>
      <c r="NM8">
        <v>0</v>
      </c>
      <c r="NN8">
        <v>0</v>
      </c>
      <c r="NO8">
        <v>0</v>
      </c>
      <c r="NP8">
        <v>0</v>
      </c>
      <c r="NQ8">
        <v>0</v>
      </c>
      <c r="NR8">
        <v>20040303</v>
      </c>
      <c r="NS8">
        <v>17178773</v>
      </c>
      <c r="NT8">
        <v>0</v>
      </c>
      <c r="NU8">
        <v>648</v>
      </c>
      <c r="NV8">
        <v>0</v>
      </c>
      <c r="NW8">
        <v>0</v>
      </c>
      <c r="NX8">
        <v>6723070</v>
      </c>
      <c r="NY8">
        <v>0</v>
      </c>
      <c r="NZ8">
        <v>0</v>
      </c>
      <c r="OA8">
        <v>107301</v>
      </c>
      <c r="OB8">
        <v>3263592</v>
      </c>
      <c r="OC8">
        <v>0</v>
      </c>
      <c r="OD8">
        <v>6297119</v>
      </c>
      <c r="OE8">
        <v>0</v>
      </c>
      <c r="OF8">
        <v>0</v>
      </c>
      <c r="OG8">
        <v>0</v>
      </c>
      <c r="OH8">
        <v>0</v>
      </c>
      <c r="OI8">
        <v>0</v>
      </c>
      <c r="OJ8">
        <v>0</v>
      </c>
      <c r="OK8">
        <v>0</v>
      </c>
      <c r="OL8">
        <v>17062069</v>
      </c>
      <c r="OM8">
        <v>0</v>
      </c>
      <c r="ON8">
        <v>0</v>
      </c>
      <c r="OO8">
        <v>0</v>
      </c>
      <c r="OP8">
        <v>0</v>
      </c>
      <c r="OQ8">
        <v>0</v>
      </c>
      <c r="OR8">
        <v>0</v>
      </c>
      <c r="OS8">
        <v>118674</v>
      </c>
      <c r="OT8">
        <v>11356789</v>
      </c>
      <c r="OU8">
        <v>82625</v>
      </c>
      <c r="OV8">
        <v>2506578</v>
      </c>
      <c r="OW8">
        <v>0</v>
      </c>
      <c r="OX8">
        <v>0</v>
      </c>
      <c r="OY8">
        <v>0</v>
      </c>
      <c r="OZ8">
        <v>0</v>
      </c>
      <c r="PA8">
        <v>0</v>
      </c>
      <c r="PB8">
        <v>0</v>
      </c>
      <c r="PC8">
        <v>0</v>
      </c>
      <c r="PD8">
        <v>0</v>
      </c>
      <c r="PE8">
        <v>0</v>
      </c>
      <c r="PF8">
        <v>2951837</v>
      </c>
      <c r="PG8">
        <v>0</v>
      </c>
      <c r="PH8">
        <v>0</v>
      </c>
      <c r="PI8">
        <v>0</v>
      </c>
      <c r="PJ8">
        <v>0</v>
      </c>
      <c r="PK8">
        <v>0</v>
      </c>
      <c r="PL8">
        <v>0</v>
      </c>
      <c r="PM8">
        <v>0</v>
      </c>
      <c r="PN8">
        <v>0</v>
      </c>
      <c r="PO8">
        <v>0</v>
      </c>
      <c r="PP8">
        <v>0</v>
      </c>
      <c r="PQ8">
        <v>-60822385</v>
      </c>
      <c r="PR8">
        <v>0</v>
      </c>
      <c r="PS8">
        <v>0</v>
      </c>
      <c r="PT8">
        <v>-2198220</v>
      </c>
      <c r="PU8">
        <v>-14387785</v>
      </c>
      <c r="PV8">
        <v>-23596418</v>
      </c>
      <c r="PW8">
        <v>-67946061</v>
      </c>
      <c r="PX8">
        <v>-77005</v>
      </c>
      <c r="PY8">
        <v>102316973</v>
      </c>
      <c r="PZ8">
        <v>8209734</v>
      </c>
      <c r="QA8">
        <v>0</v>
      </c>
      <c r="QB8">
        <v>-117003</v>
      </c>
      <c r="QC8">
        <v>0</v>
      </c>
      <c r="QD8">
        <v>0</v>
      </c>
      <c r="QE8">
        <v>0</v>
      </c>
      <c r="QF8">
        <v>0</v>
      </c>
      <c r="QG8">
        <v>0</v>
      </c>
      <c r="QH8">
        <v>0</v>
      </c>
      <c r="QI8">
        <v>29186732</v>
      </c>
      <c r="QJ8">
        <v>0</v>
      </c>
      <c r="QK8">
        <v>0</v>
      </c>
      <c r="QL8">
        <v>-18748950</v>
      </c>
      <c r="QM8">
        <v>-7798259</v>
      </c>
      <c r="QN8">
        <v>-4900841</v>
      </c>
      <c r="QO8">
        <v>0</v>
      </c>
      <c r="QP8">
        <v>0</v>
      </c>
      <c r="QQ8">
        <v>0</v>
      </c>
      <c r="QR8">
        <v>0</v>
      </c>
      <c r="QS8">
        <v>0</v>
      </c>
      <c r="QT8">
        <v>0</v>
      </c>
      <c r="QU8">
        <v>0</v>
      </c>
      <c r="QV8">
        <v>-9190963</v>
      </c>
      <c r="QW8">
        <v>0</v>
      </c>
      <c r="QX8">
        <v>-20312</v>
      </c>
      <c r="QY8">
        <v>0</v>
      </c>
      <c r="QZ8">
        <v>19796706</v>
      </c>
      <c r="RA8">
        <v>0</v>
      </c>
      <c r="RB8">
        <v>0</v>
      </c>
      <c r="RC8">
        <v>0</v>
      </c>
      <c r="RD8">
        <v>0</v>
      </c>
      <c r="RE8">
        <v>0</v>
      </c>
      <c r="RF8">
        <v>0</v>
      </c>
      <c r="RG8">
        <v>209630</v>
      </c>
      <c r="RH8">
        <v>0</v>
      </c>
      <c r="RI8">
        <v>19229443</v>
      </c>
      <c r="RJ8">
        <v>0</v>
      </c>
      <c r="RK8">
        <v>0</v>
      </c>
      <c r="RL8">
        <v>0</v>
      </c>
      <c r="RM8">
        <v>0</v>
      </c>
      <c r="RN8">
        <v>0</v>
      </c>
      <c r="RO8">
        <v>0</v>
      </c>
      <c r="RP8">
        <v>0</v>
      </c>
      <c r="RQ8">
        <v>0</v>
      </c>
      <c r="RR8">
        <v>0</v>
      </c>
      <c r="RS8">
        <v>0</v>
      </c>
      <c r="RT8">
        <v>0</v>
      </c>
      <c r="RU8">
        <v>-64775812</v>
      </c>
      <c r="RV8">
        <v>0</v>
      </c>
      <c r="RW8">
        <v>0</v>
      </c>
      <c r="RX8">
        <v>0</v>
      </c>
      <c r="RY8">
        <v>0</v>
      </c>
      <c r="RZ8">
        <v>0</v>
      </c>
      <c r="SA8">
        <v>0</v>
      </c>
      <c r="SB8">
        <v>0</v>
      </c>
      <c r="SC8">
        <v>0</v>
      </c>
      <c r="SD8">
        <v>0</v>
      </c>
      <c r="SE8">
        <v>0</v>
      </c>
      <c r="SF8">
        <v>0</v>
      </c>
      <c r="SG8">
        <v>0</v>
      </c>
      <c r="SH8">
        <v>0</v>
      </c>
      <c r="SI8">
        <v>0</v>
      </c>
      <c r="SJ8">
        <v>0</v>
      </c>
      <c r="SK8">
        <v>0</v>
      </c>
      <c r="SL8">
        <v>0</v>
      </c>
      <c r="SM8">
        <v>0</v>
      </c>
      <c r="SN8">
        <v>0</v>
      </c>
      <c r="SO8">
        <v>0</v>
      </c>
      <c r="SP8">
        <v>0</v>
      </c>
      <c r="SQ8">
        <v>0</v>
      </c>
      <c r="SR8">
        <v>0</v>
      </c>
      <c r="SS8">
        <v>0</v>
      </c>
      <c r="ST8">
        <v>0</v>
      </c>
      <c r="SU8">
        <v>0</v>
      </c>
      <c r="SV8">
        <v>0</v>
      </c>
      <c r="SW8">
        <v>0</v>
      </c>
      <c r="SX8">
        <v>0</v>
      </c>
      <c r="SY8">
        <v>0</v>
      </c>
      <c r="SZ8">
        <v>0</v>
      </c>
      <c r="TA8">
        <v>0</v>
      </c>
      <c r="TB8">
        <v>0</v>
      </c>
      <c r="TC8">
        <v>0</v>
      </c>
      <c r="TD8">
        <v>0</v>
      </c>
      <c r="TE8">
        <v>74887051</v>
      </c>
      <c r="TF8">
        <v>57873061</v>
      </c>
      <c r="TI8">
        <v>58096402</v>
      </c>
      <c r="TJ8">
        <v>-1459460</v>
      </c>
      <c r="TK8">
        <v>957385</v>
      </c>
      <c r="TL8">
        <v>2433761</v>
      </c>
      <c r="TM8">
        <v>553240</v>
      </c>
      <c r="TN8">
        <v>5004879</v>
      </c>
      <c r="TO8">
        <v>334193</v>
      </c>
      <c r="TP8">
        <v>71568</v>
      </c>
      <c r="TQ8">
        <v>4505910</v>
      </c>
      <c r="TR8">
        <v>121105</v>
      </c>
      <c r="TS8">
        <v>0</v>
      </c>
      <c r="TT8">
        <v>82625</v>
      </c>
      <c r="TU8">
        <v>97261</v>
      </c>
      <c r="TV8">
        <v>3513572</v>
      </c>
      <c r="TW8">
        <v>66214</v>
      </c>
      <c r="TX8">
        <v>0</v>
      </c>
      <c r="TY8">
        <v>0</v>
      </c>
      <c r="TZ8">
        <v>0</v>
      </c>
      <c r="UA8">
        <v>0</v>
      </c>
      <c r="UB8">
        <v>0</v>
      </c>
      <c r="UC8">
        <v>0</v>
      </c>
      <c r="UD8">
        <v>48159</v>
      </c>
      <c r="UE8">
        <v>41997</v>
      </c>
      <c r="UF8">
        <v>0</v>
      </c>
      <c r="UG8">
        <v>0</v>
      </c>
      <c r="UH8">
        <v>0</v>
      </c>
      <c r="UI8">
        <v>0</v>
      </c>
      <c r="UJ8">
        <v>0</v>
      </c>
      <c r="UK8">
        <v>0</v>
      </c>
      <c r="UL8">
        <v>0</v>
      </c>
      <c r="UM8">
        <v>0</v>
      </c>
      <c r="UN8">
        <v>0</v>
      </c>
      <c r="UO8">
        <v>717084884</v>
      </c>
      <c r="UP8">
        <v>199048552</v>
      </c>
      <c r="UQ8">
        <v>31435559</v>
      </c>
      <c r="UR8">
        <v>430638402</v>
      </c>
      <c r="US8">
        <v>55340893</v>
      </c>
      <c r="UT8">
        <v>9150310</v>
      </c>
      <c r="UU8">
        <v>77137846</v>
      </c>
      <c r="UV8">
        <v>43942794</v>
      </c>
      <c r="UW8">
        <v>9668012</v>
      </c>
      <c r="UX8">
        <v>17062069</v>
      </c>
      <c r="UY8">
        <v>17737318</v>
      </c>
      <c r="UZ8">
        <v>10585431</v>
      </c>
      <c r="VC8" t="s">
        <v>1599</v>
      </c>
      <c r="VD8" t="s">
        <v>1600</v>
      </c>
      <c r="VE8" s="638" t="s">
        <v>1601</v>
      </c>
    </row>
    <row r="9" spans="1:577" ht="47.25" customHeight="1" thickBot="1">
      <c r="A9" s="447">
        <v>420</v>
      </c>
      <c r="B9" s="445" t="s">
        <v>99</v>
      </c>
      <c r="C9" s="446" t="s">
        <v>331</v>
      </c>
      <c r="D9" t="s">
        <v>1421</v>
      </c>
      <c r="E9" s="859">
        <v>40</v>
      </c>
      <c r="F9" s="534">
        <v>2739986454</v>
      </c>
      <c r="G9" s="491" t="s">
        <v>1422</v>
      </c>
      <c r="H9" t="s">
        <v>99</v>
      </c>
      <c r="M9">
        <v>169212881</v>
      </c>
      <c r="N9">
        <v>0</v>
      </c>
      <c r="O9">
        <v>0</v>
      </c>
      <c r="P9">
        <v>0</v>
      </c>
      <c r="Q9">
        <v>0</v>
      </c>
      <c r="R9">
        <v>0</v>
      </c>
      <c r="S9">
        <v>0</v>
      </c>
      <c r="T9">
        <v>0</v>
      </c>
      <c r="U9">
        <v>0</v>
      </c>
      <c r="V9">
        <v>2021376</v>
      </c>
      <c r="W9">
        <v>955352</v>
      </c>
      <c r="X9">
        <v>0</v>
      </c>
      <c r="Y9">
        <v>11986918</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-5360496</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15971445</v>
      </c>
      <c r="CQ9">
        <v>31912567</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-1190020</v>
      </c>
      <c r="DR9">
        <v>0</v>
      </c>
      <c r="DS9">
        <v>0</v>
      </c>
      <c r="DT9">
        <v>0</v>
      </c>
      <c r="DU9">
        <v>0</v>
      </c>
      <c r="DV9">
        <v>0</v>
      </c>
      <c r="DW9">
        <v>0</v>
      </c>
      <c r="DX9">
        <v>0</v>
      </c>
      <c r="DY9">
        <v>0</v>
      </c>
      <c r="DZ9">
        <v>0</v>
      </c>
      <c r="EA9">
        <v>0</v>
      </c>
      <c r="EB9">
        <v>0</v>
      </c>
      <c r="EC9">
        <v>0</v>
      </c>
      <c r="ED9">
        <v>0</v>
      </c>
      <c r="EE9">
        <v>0</v>
      </c>
      <c r="EF9">
        <v>0</v>
      </c>
      <c r="EG9">
        <v>0</v>
      </c>
      <c r="EH9">
        <v>0</v>
      </c>
      <c r="EI9">
        <v>-3086263</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s="633">
        <v>2815216</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-132224</v>
      </c>
      <c r="HD9">
        <v>0</v>
      </c>
      <c r="HE9">
        <v>0</v>
      </c>
      <c r="HF9">
        <v>0</v>
      </c>
      <c r="HG9">
        <v>0</v>
      </c>
      <c r="HH9">
        <v>0</v>
      </c>
      <c r="HI9">
        <v>0</v>
      </c>
      <c r="HJ9">
        <v>0</v>
      </c>
      <c r="HK9">
        <v>0</v>
      </c>
      <c r="HL9">
        <v>0</v>
      </c>
      <c r="HM9">
        <v>0</v>
      </c>
      <c r="HN9">
        <v>0</v>
      </c>
      <c r="HO9">
        <v>0</v>
      </c>
      <c r="HP9">
        <v>0</v>
      </c>
      <c r="HQ9">
        <v>0</v>
      </c>
      <c r="HR9">
        <v>0</v>
      </c>
      <c r="HS9">
        <v>0</v>
      </c>
      <c r="HT9">
        <v>0</v>
      </c>
      <c r="HU9">
        <v>-342918</v>
      </c>
      <c r="HV9">
        <v>0</v>
      </c>
      <c r="HW9">
        <v>0</v>
      </c>
      <c r="HX9">
        <v>0</v>
      </c>
      <c r="HY9">
        <v>0</v>
      </c>
      <c r="HZ9">
        <v>0</v>
      </c>
      <c r="IA9">
        <v>0</v>
      </c>
      <c r="IB9">
        <v>0</v>
      </c>
      <c r="IC9">
        <v>0</v>
      </c>
      <c r="ID9">
        <v>0</v>
      </c>
      <c r="IE9">
        <v>23784508</v>
      </c>
      <c r="IF9">
        <v>0</v>
      </c>
      <c r="IG9">
        <v>79918983</v>
      </c>
      <c r="IH9">
        <v>0</v>
      </c>
      <c r="II9">
        <v>0</v>
      </c>
      <c r="IJ9">
        <v>0</v>
      </c>
      <c r="IK9">
        <v>0</v>
      </c>
      <c r="IL9">
        <v>0</v>
      </c>
      <c r="IM9">
        <v>0</v>
      </c>
      <c r="IN9">
        <v>216393102</v>
      </c>
      <c r="IO9">
        <v>0</v>
      </c>
      <c r="IP9">
        <v>0</v>
      </c>
      <c r="IQ9">
        <v>0</v>
      </c>
      <c r="IR9">
        <v>0</v>
      </c>
      <c r="IS9">
        <v>0</v>
      </c>
      <c r="IT9">
        <v>0</v>
      </c>
      <c r="IU9">
        <v>0</v>
      </c>
      <c r="IV9">
        <v>0</v>
      </c>
      <c r="IW9">
        <v>0</v>
      </c>
      <c r="IX9">
        <v>0</v>
      </c>
      <c r="IY9">
        <v>0</v>
      </c>
      <c r="IZ9">
        <v>0</v>
      </c>
      <c r="JA9">
        <v>0</v>
      </c>
      <c r="JB9">
        <v>0</v>
      </c>
      <c r="JC9">
        <v>0</v>
      </c>
      <c r="JD9">
        <v>0</v>
      </c>
      <c r="JE9">
        <v>158853</v>
      </c>
      <c r="JF9">
        <v>31484885</v>
      </c>
      <c r="JG9">
        <v>0</v>
      </c>
      <c r="JH9">
        <v>12852709</v>
      </c>
      <c r="JI9">
        <v>38832</v>
      </c>
      <c r="JJ9">
        <v>104936</v>
      </c>
      <c r="JK9">
        <v>0</v>
      </c>
      <c r="JL9">
        <v>0</v>
      </c>
      <c r="JM9">
        <v>0</v>
      </c>
      <c r="JN9">
        <v>0</v>
      </c>
      <c r="JO9">
        <v>164085244</v>
      </c>
      <c r="JP9">
        <v>0</v>
      </c>
      <c r="JQ9">
        <v>2311741</v>
      </c>
      <c r="JR9">
        <v>0</v>
      </c>
      <c r="JS9">
        <v>0</v>
      </c>
      <c r="JT9">
        <v>0</v>
      </c>
      <c r="JU9">
        <v>0</v>
      </c>
      <c r="JV9">
        <v>0</v>
      </c>
      <c r="JW9">
        <v>0</v>
      </c>
      <c r="JX9">
        <v>4969630</v>
      </c>
      <c r="JY9">
        <v>0</v>
      </c>
      <c r="JZ9">
        <v>34216170</v>
      </c>
      <c r="KA9">
        <v>0</v>
      </c>
      <c r="KB9">
        <v>0</v>
      </c>
      <c r="KC9">
        <v>500000</v>
      </c>
      <c r="KD9">
        <v>0</v>
      </c>
      <c r="KE9">
        <v>0</v>
      </c>
      <c r="KF9">
        <v>5673926</v>
      </c>
      <c r="KG9">
        <v>13654795</v>
      </c>
      <c r="KH9">
        <v>0</v>
      </c>
      <c r="KI9">
        <v>11113440</v>
      </c>
      <c r="KJ9">
        <v>0</v>
      </c>
      <c r="KK9">
        <v>0</v>
      </c>
      <c r="KL9">
        <v>0</v>
      </c>
      <c r="KM9">
        <v>0</v>
      </c>
      <c r="KN9">
        <v>0</v>
      </c>
      <c r="KO9">
        <v>0</v>
      </c>
      <c r="KP9">
        <v>0</v>
      </c>
      <c r="KQ9">
        <v>5480027</v>
      </c>
      <c r="KR9">
        <v>0</v>
      </c>
      <c r="KS9">
        <v>0</v>
      </c>
      <c r="KT9">
        <v>0</v>
      </c>
      <c r="KU9">
        <v>0</v>
      </c>
      <c r="KV9">
        <v>0</v>
      </c>
      <c r="KW9">
        <v>0</v>
      </c>
      <c r="KX9">
        <v>133136</v>
      </c>
      <c r="KY9">
        <v>32195314</v>
      </c>
      <c r="KZ9">
        <v>0</v>
      </c>
      <c r="LA9">
        <v>2019167</v>
      </c>
      <c r="LB9">
        <v>111946</v>
      </c>
      <c r="LC9">
        <v>0</v>
      </c>
      <c r="LD9">
        <v>0</v>
      </c>
      <c r="LE9">
        <v>0</v>
      </c>
      <c r="LF9">
        <v>-456858</v>
      </c>
      <c r="LG9">
        <v>99976330</v>
      </c>
      <c r="LH9">
        <v>264327783</v>
      </c>
      <c r="LI9">
        <v>0</v>
      </c>
      <c r="LJ9">
        <v>16665064</v>
      </c>
      <c r="LK9">
        <v>0</v>
      </c>
      <c r="LL9">
        <v>0</v>
      </c>
      <c r="LM9">
        <v>0</v>
      </c>
      <c r="LN9">
        <v>0</v>
      </c>
      <c r="LO9">
        <v>0</v>
      </c>
      <c r="LP9">
        <v>12536869</v>
      </c>
      <c r="LQ9">
        <v>16340469</v>
      </c>
      <c r="LR9">
        <v>0</v>
      </c>
      <c r="LS9">
        <v>97684139</v>
      </c>
      <c r="LT9">
        <v>0</v>
      </c>
      <c r="LU9">
        <v>0</v>
      </c>
      <c r="LV9">
        <v>0</v>
      </c>
      <c r="LW9">
        <v>0</v>
      </c>
      <c r="LX9">
        <v>0</v>
      </c>
      <c r="LY9">
        <v>0</v>
      </c>
      <c r="LZ9">
        <v>4535169</v>
      </c>
      <c r="MA9">
        <v>0</v>
      </c>
      <c r="MB9">
        <v>24922719</v>
      </c>
      <c r="MC9">
        <v>0</v>
      </c>
      <c r="MD9">
        <v>0</v>
      </c>
      <c r="ME9">
        <v>0</v>
      </c>
      <c r="MF9">
        <v>0</v>
      </c>
      <c r="MG9">
        <v>0</v>
      </c>
      <c r="MH9">
        <v>0</v>
      </c>
      <c r="MI9">
        <v>131027053</v>
      </c>
      <c r="MJ9">
        <v>0</v>
      </c>
      <c r="MK9">
        <v>85173</v>
      </c>
      <c r="ML9">
        <v>0</v>
      </c>
      <c r="MM9">
        <v>0</v>
      </c>
      <c r="MN9">
        <v>0</v>
      </c>
      <c r="MO9">
        <v>0</v>
      </c>
      <c r="MP9">
        <v>0</v>
      </c>
      <c r="MQ9">
        <v>33118712</v>
      </c>
      <c r="MR9">
        <v>9438478</v>
      </c>
      <c r="MS9">
        <v>0</v>
      </c>
      <c r="MT9">
        <v>702938</v>
      </c>
      <c r="MU9">
        <v>0</v>
      </c>
      <c r="MV9">
        <v>0</v>
      </c>
      <c r="MW9">
        <v>0</v>
      </c>
      <c r="MX9">
        <v>0</v>
      </c>
      <c r="MY9">
        <v>0</v>
      </c>
      <c r="MZ9">
        <v>1797771</v>
      </c>
      <c r="NA9">
        <v>252955</v>
      </c>
      <c r="NB9">
        <v>0</v>
      </c>
      <c r="NC9">
        <v>2547</v>
      </c>
      <c r="ND9">
        <v>65623</v>
      </c>
      <c r="NE9">
        <v>0</v>
      </c>
      <c r="NF9">
        <v>0</v>
      </c>
      <c r="NG9">
        <v>0</v>
      </c>
      <c r="NH9">
        <v>0</v>
      </c>
      <c r="NI9">
        <v>28793387</v>
      </c>
      <c r="NJ9">
        <v>18111561</v>
      </c>
      <c r="NK9">
        <v>0</v>
      </c>
      <c r="NL9">
        <v>936887</v>
      </c>
      <c r="NM9">
        <v>0</v>
      </c>
      <c r="NN9">
        <v>0</v>
      </c>
      <c r="NO9">
        <v>0</v>
      </c>
      <c r="NP9">
        <v>0</v>
      </c>
      <c r="NQ9">
        <v>0</v>
      </c>
      <c r="NR9">
        <v>17094554</v>
      </c>
      <c r="NS9">
        <v>19684245</v>
      </c>
      <c r="NT9">
        <v>0</v>
      </c>
      <c r="NU9">
        <v>4310</v>
      </c>
      <c r="NV9">
        <v>0</v>
      </c>
      <c r="NW9">
        <v>0</v>
      </c>
      <c r="NX9">
        <v>808286</v>
      </c>
      <c r="NY9">
        <v>0</v>
      </c>
      <c r="NZ9">
        <v>0</v>
      </c>
      <c r="OA9">
        <v>1765251</v>
      </c>
      <c r="OB9">
        <v>307040</v>
      </c>
      <c r="OC9">
        <v>0</v>
      </c>
      <c r="OD9">
        <v>2810650</v>
      </c>
      <c r="OE9">
        <v>0</v>
      </c>
      <c r="OF9">
        <v>0</v>
      </c>
      <c r="OG9">
        <v>0</v>
      </c>
      <c r="OH9">
        <v>0</v>
      </c>
      <c r="OI9">
        <v>0</v>
      </c>
      <c r="OJ9">
        <v>0</v>
      </c>
      <c r="OK9">
        <v>0</v>
      </c>
      <c r="OL9">
        <v>5845168</v>
      </c>
      <c r="OM9">
        <v>0</v>
      </c>
      <c r="ON9">
        <v>0</v>
      </c>
      <c r="OO9">
        <v>0</v>
      </c>
      <c r="OP9">
        <v>0</v>
      </c>
      <c r="OQ9">
        <v>0</v>
      </c>
      <c r="OR9">
        <v>0</v>
      </c>
      <c r="OS9">
        <v>808718</v>
      </c>
      <c r="OT9">
        <v>16053027</v>
      </c>
      <c r="OU9">
        <v>592091</v>
      </c>
      <c r="OV9">
        <v>10781723</v>
      </c>
      <c r="OW9">
        <v>0</v>
      </c>
      <c r="OX9">
        <v>0</v>
      </c>
      <c r="OY9">
        <v>0</v>
      </c>
      <c r="OZ9">
        <v>0</v>
      </c>
      <c r="PA9">
        <v>0</v>
      </c>
      <c r="PB9">
        <v>0</v>
      </c>
      <c r="PC9">
        <v>435000</v>
      </c>
      <c r="PD9">
        <v>0</v>
      </c>
      <c r="PE9">
        <v>0</v>
      </c>
      <c r="PF9">
        <v>5432887</v>
      </c>
      <c r="PG9">
        <v>0</v>
      </c>
      <c r="PH9">
        <v>0</v>
      </c>
      <c r="PI9">
        <v>0</v>
      </c>
      <c r="PJ9">
        <v>0</v>
      </c>
      <c r="PK9">
        <v>0</v>
      </c>
      <c r="PL9">
        <v>0</v>
      </c>
      <c r="PM9">
        <v>0</v>
      </c>
      <c r="PN9">
        <v>0</v>
      </c>
      <c r="PO9">
        <v>0</v>
      </c>
      <c r="PP9">
        <v>0</v>
      </c>
      <c r="PQ9">
        <v>-81094986</v>
      </c>
      <c r="PR9">
        <v>0</v>
      </c>
      <c r="PS9">
        <v>0</v>
      </c>
      <c r="PT9">
        <v>23677036</v>
      </c>
      <c r="PU9">
        <v>-18087240</v>
      </c>
      <c r="PV9">
        <v>-464313</v>
      </c>
      <c r="PW9">
        <v>-8778082</v>
      </c>
      <c r="PX9">
        <v>4211</v>
      </c>
      <c r="PY9">
        <v>5753296</v>
      </c>
      <c r="PZ9">
        <v>-734028</v>
      </c>
      <c r="QA9">
        <v>0</v>
      </c>
      <c r="QB9">
        <v>949498</v>
      </c>
      <c r="QC9">
        <v>0</v>
      </c>
      <c r="QD9">
        <v>0</v>
      </c>
      <c r="QE9">
        <v>0</v>
      </c>
      <c r="QF9">
        <v>0</v>
      </c>
      <c r="QG9">
        <v>0</v>
      </c>
      <c r="QH9">
        <v>0</v>
      </c>
      <c r="QI9">
        <v>70419687</v>
      </c>
      <c r="QJ9">
        <v>0</v>
      </c>
      <c r="QK9">
        <v>0</v>
      </c>
      <c r="QL9">
        <v>-15896575</v>
      </c>
      <c r="QM9">
        <v>-13173084</v>
      </c>
      <c r="QN9">
        <v>-1411098</v>
      </c>
      <c r="QO9">
        <v>0</v>
      </c>
      <c r="QP9">
        <v>0</v>
      </c>
      <c r="QQ9">
        <v>0</v>
      </c>
      <c r="QR9">
        <v>0</v>
      </c>
      <c r="QS9">
        <v>0</v>
      </c>
      <c r="QT9">
        <v>0</v>
      </c>
      <c r="QU9">
        <v>0</v>
      </c>
      <c r="QV9">
        <v>-148503</v>
      </c>
      <c r="QW9">
        <v>0</v>
      </c>
      <c r="QX9">
        <v>156105</v>
      </c>
      <c r="QY9">
        <v>6736</v>
      </c>
      <c r="QZ9">
        <v>26081674</v>
      </c>
      <c r="RA9">
        <v>0</v>
      </c>
      <c r="RB9">
        <v>0</v>
      </c>
      <c r="RC9">
        <v>0</v>
      </c>
      <c r="RD9">
        <v>0</v>
      </c>
      <c r="RE9">
        <v>0</v>
      </c>
      <c r="RF9">
        <v>0</v>
      </c>
      <c r="RG9">
        <v>0</v>
      </c>
      <c r="RH9">
        <v>0</v>
      </c>
      <c r="RI9">
        <v>9978440</v>
      </c>
      <c r="RJ9">
        <v>0</v>
      </c>
      <c r="RK9">
        <v>0</v>
      </c>
      <c r="RL9">
        <v>0</v>
      </c>
      <c r="RM9">
        <v>0</v>
      </c>
      <c r="RN9">
        <v>0</v>
      </c>
      <c r="RO9">
        <v>0</v>
      </c>
      <c r="RP9">
        <v>0</v>
      </c>
      <c r="RQ9">
        <v>0</v>
      </c>
      <c r="RR9">
        <v>0</v>
      </c>
      <c r="RS9">
        <v>0</v>
      </c>
      <c r="RT9">
        <v>0</v>
      </c>
      <c r="RU9">
        <v>-55459098</v>
      </c>
      <c r="RV9">
        <v>0</v>
      </c>
      <c r="RW9">
        <v>0</v>
      </c>
      <c r="RX9">
        <v>0</v>
      </c>
      <c r="RY9">
        <v>0</v>
      </c>
      <c r="RZ9">
        <v>0</v>
      </c>
      <c r="SA9">
        <v>0</v>
      </c>
      <c r="SB9">
        <v>0</v>
      </c>
      <c r="SC9">
        <v>0</v>
      </c>
      <c r="SD9">
        <v>0</v>
      </c>
      <c r="SE9">
        <v>0</v>
      </c>
      <c r="SF9">
        <v>0</v>
      </c>
      <c r="SG9">
        <v>0</v>
      </c>
      <c r="SH9">
        <v>0</v>
      </c>
      <c r="SI9">
        <v>0</v>
      </c>
      <c r="SJ9">
        <v>0</v>
      </c>
      <c r="SK9">
        <v>0</v>
      </c>
      <c r="SL9">
        <v>0</v>
      </c>
      <c r="SM9">
        <v>0</v>
      </c>
      <c r="SN9">
        <v>0</v>
      </c>
      <c r="SO9">
        <v>0</v>
      </c>
      <c r="SP9">
        <v>0</v>
      </c>
      <c r="SQ9">
        <v>0</v>
      </c>
      <c r="SR9">
        <v>0</v>
      </c>
      <c r="SS9">
        <v>0</v>
      </c>
      <c r="ST9">
        <v>0</v>
      </c>
      <c r="SU9">
        <v>0</v>
      </c>
      <c r="SV9">
        <v>164518</v>
      </c>
      <c r="SW9">
        <v>0</v>
      </c>
      <c r="SX9">
        <v>0</v>
      </c>
      <c r="SY9">
        <v>0</v>
      </c>
      <c r="SZ9">
        <v>0</v>
      </c>
      <c r="TA9">
        <v>0</v>
      </c>
      <c r="TB9">
        <v>0</v>
      </c>
      <c r="TC9">
        <v>0</v>
      </c>
      <c r="TD9">
        <v>0</v>
      </c>
      <c r="TE9">
        <v>109330544</v>
      </c>
      <c r="TF9">
        <v>78398977</v>
      </c>
      <c r="TI9">
        <v>50699228</v>
      </c>
      <c r="TJ9">
        <v>-4751425</v>
      </c>
      <c r="TK9">
        <v>4625399</v>
      </c>
      <c r="TL9">
        <v>10776812</v>
      </c>
      <c r="TM9">
        <v>899277</v>
      </c>
      <c r="TN9">
        <v>1700469</v>
      </c>
      <c r="TO9">
        <v>3887481</v>
      </c>
      <c r="TP9">
        <v>0</v>
      </c>
      <c r="TQ9">
        <v>746141</v>
      </c>
      <c r="TR9">
        <v>5007738</v>
      </c>
      <c r="TS9">
        <v>151</v>
      </c>
      <c r="TT9">
        <v>592091</v>
      </c>
      <c r="TU9">
        <v>0</v>
      </c>
      <c r="TV9">
        <v>1471056</v>
      </c>
      <c r="TW9">
        <v>0</v>
      </c>
      <c r="TX9">
        <v>0</v>
      </c>
      <c r="TY9">
        <v>0</v>
      </c>
      <c r="TZ9">
        <v>0</v>
      </c>
      <c r="UA9">
        <v>0</v>
      </c>
      <c r="UB9">
        <v>0</v>
      </c>
      <c r="UC9">
        <v>0</v>
      </c>
      <c r="UD9">
        <v>0</v>
      </c>
      <c r="UE9">
        <v>0</v>
      </c>
      <c r="UF9">
        <v>1379680</v>
      </c>
      <c r="UG9">
        <v>0</v>
      </c>
      <c r="UH9">
        <v>0</v>
      </c>
      <c r="UI9">
        <v>0</v>
      </c>
      <c r="UJ9">
        <v>0</v>
      </c>
      <c r="UK9">
        <v>0</v>
      </c>
      <c r="UL9">
        <v>0</v>
      </c>
      <c r="UM9">
        <v>0</v>
      </c>
      <c r="UN9">
        <v>0</v>
      </c>
      <c r="UO9">
        <v>380969177</v>
      </c>
      <c r="UP9">
        <v>126561477</v>
      </c>
      <c r="UQ9">
        <v>29457888</v>
      </c>
      <c r="UR9">
        <v>131112226</v>
      </c>
      <c r="US9">
        <v>43260128</v>
      </c>
      <c r="UT9">
        <v>2118896</v>
      </c>
      <c r="UU9">
        <v>47841835</v>
      </c>
      <c r="UV9">
        <v>37591395</v>
      </c>
      <c r="UW9">
        <v>4882941</v>
      </c>
      <c r="UX9">
        <v>5845168</v>
      </c>
      <c r="UY9">
        <v>-11711439</v>
      </c>
      <c r="UZ9">
        <v>26096012</v>
      </c>
      <c r="VC9" t="s">
        <v>1602</v>
      </c>
      <c r="VD9" t="s">
        <v>1603</v>
      </c>
      <c r="VE9" s="638" t="s">
        <v>1604</v>
      </c>
    </row>
    <row r="10" spans="1:577" ht="45.75" customHeight="1" thickBot="1">
      <c r="A10" s="447">
        <v>430</v>
      </c>
      <c r="B10" s="445" t="s">
        <v>100</v>
      </c>
      <c r="C10" s="446" t="s">
        <v>332</v>
      </c>
      <c r="D10" t="s">
        <v>1421</v>
      </c>
      <c r="E10" s="859">
        <v>25554</v>
      </c>
      <c r="F10" s="534">
        <v>26173061137</v>
      </c>
      <c r="G10" s="491" t="s">
        <v>1422</v>
      </c>
      <c r="H10" t="s">
        <v>100</v>
      </c>
      <c r="M10">
        <v>210130004</v>
      </c>
      <c r="N10">
        <v>0</v>
      </c>
      <c r="O10">
        <v>0</v>
      </c>
      <c r="P10">
        <v>0</v>
      </c>
      <c r="Q10">
        <v>0</v>
      </c>
      <c r="R10">
        <v>0</v>
      </c>
      <c r="S10">
        <v>0</v>
      </c>
      <c r="T10">
        <v>0</v>
      </c>
      <c r="U10">
        <v>0</v>
      </c>
      <c r="V10">
        <v>97972</v>
      </c>
      <c r="W10">
        <v>2309388</v>
      </c>
      <c r="X10">
        <v>0</v>
      </c>
      <c r="Y10">
        <v>45959916</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-239990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586745</v>
      </c>
      <c r="CQ10">
        <v>412439</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-9200</v>
      </c>
      <c r="DR10">
        <v>0</v>
      </c>
      <c r="DS10">
        <v>0</v>
      </c>
      <c r="DT10">
        <v>0</v>
      </c>
      <c r="DU10">
        <v>0</v>
      </c>
      <c r="DV10">
        <v>0</v>
      </c>
      <c r="DW10">
        <v>0</v>
      </c>
      <c r="DX10">
        <v>0</v>
      </c>
      <c r="DY10">
        <v>0</v>
      </c>
      <c r="DZ10">
        <v>0</v>
      </c>
      <c r="EA10">
        <v>-8648</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134722</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0</v>
      </c>
      <c r="HM10">
        <v>-2573</v>
      </c>
      <c r="HN10">
        <v>0</v>
      </c>
      <c r="HO10">
        <v>0</v>
      </c>
      <c r="HP10">
        <v>0</v>
      </c>
      <c r="HQ10">
        <v>0</v>
      </c>
      <c r="HR10">
        <v>0</v>
      </c>
      <c r="HS10">
        <v>0</v>
      </c>
      <c r="HT10">
        <v>0</v>
      </c>
      <c r="HU10">
        <v>0</v>
      </c>
      <c r="HV10">
        <v>0</v>
      </c>
      <c r="HW10">
        <v>0</v>
      </c>
      <c r="HX10">
        <v>0</v>
      </c>
      <c r="HY10">
        <v>0</v>
      </c>
      <c r="HZ10">
        <v>0</v>
      </c>
      <c r="IA10">
        <v>0</v>
      </c>
      <c r="IB10">
        <v>0</v>
      </c>
      <c r="IC10">
        <v>0</v>
      </c>
      <c r="ID10">
        <v>0</v>
      </c>
      <c r="IE10">
        <v>56818666</v>
      </c>
      <c r="IF10">
        <v>0</v>
      </c>
      <c r="IG10">
        <v>118488957</v>
      </c>
      <c r="IH10">
        <v>0</v>
      </c>
      <c r="II10">
        <v>0</v>
      </c>
      <c r="IJ10">
        <v>0</v>
      </c>
      <c r="IK10">
        <v>0</v>
      </c>
      <c r="IL10">
        <v>0</v>
      </c>
      <c r="IM10">
        <v>0</v>
      </c>
      <c r="IN10">
        <v>403758919</v>
      </c>
      <c r="IO10">
        <v>0</v>
      </c>
      <c r="IP10">
        <v>0</v>
      </c>
      <c r="IQ10">
        <v>0</v>
      </c>
      <c r="IR10">
        <v>0</v>
      </c>
      <c r="IS10">
        <v>0</v>
      </c>
      <c r="IT10">
        <v>0</v>
      </c>
      <c r="IU10">
        <v>0</v>
      </c>
      <c r="IV10">
        <v>3680395600</v>
      </c>
      <c r="IW10">
        <v>0</v>
      </c>
      <c r="IX10">
        <v>0</v>
      </c>
      <c r="IY10">
        <v>0</v>
      </c>
      <c r="IZ10">
        <v>0</v>
      </c>
      <c r="JA10">
        <v>0</v>
      </c>
      <c r="JB10">
        <v>0</v>
      </c>
      <c r="JC10">
        <v>0</v>
      </c>
      <c r="JD10">
        <v>0</v>
      </c>
      <c r="JE10">
        <v>63358625</v>
      </c>
      <c r="JF10">
        <v>114494561</v>
      </c>
      <c r="JG10">
        <v>0</v>
      </c>
      <c r="JH10">
        <v>25087955</v>
      </c>
      <c r="JI10">
        <v>0</v>
      </c>
      <c r="JJ10">
        <v>125770</v>
      </c>
      <c r="JK10">
        <v>0</v>
      </c>
      <c r="JL10">
        <v>0</v>
      </c>
      <c r="JM10">
        <v>0</v>
      </c>
      <c r="JN10">
        <v>0</v>
      </c>
      <c r="JO10">
        <v>0</v>
      </c>
      <c r="JP10">
        <v>0</v>
      </c>
      <c r="JQ10">
        <v>0</v>
      </c>
      <c r="JR10">
        <v>0</v>
      </c>
      <c r="JS10">
        <v>0</v>
      </c>
      <c r="JT10">
        <v>0</v>
      </c>
      <c r="JU10">
        <v>0</v>
      </c>
      <c r="JV10">
        <v>0</v>
      </c>
      <c r="JW10">
        <v>0</v>
      </c>
      <c r="JX10">
        <v>51903686</v>
      </c>
      <c r="JY10">
        <v>0</v>
      </c>
      <c r="JZ10">
        <v>222463821</v>
      </c>
      <c r="KA10">
        <v>0</v>
      </c>
      <c r="KB10">
        <v>0</v>
      </c>
      <c r="KC10">
        <v>5521</v>
      </c>
      <c r="KD10">
        <v>0</v>
      </c>
      <c r="KE10">
        <v>0</v>
      </c>
      <c r="KF10">
        <v>0</v>
      </c>
      <c r="KG10">
        <v>2031065</v>
      </c>
      <c r="KH10">
        <v>0</v>
      </c>
      <c r="KI10">
        <v>0</v>
      </c>
      <c r="KJ10">
        <v>0</v>
      </c>
      <c r="KK10">
        <v>0</v>
      </c>
      <c r="KL10">
        <v>0</v>
      </c>
      <c r="KM10">
        <v>0</v>
      </c>
      <c r="KN10">
        <v>0</v>
      </c>
      <c r="KO10">
        <v>0</v>
      </c>
      <c r="KP10">
        <v>0</v>
      </c>
      <c r="KQ10">
        <v>44292397</v>
      </c>
      <c r="KR10">
        <v>0</v>
      </c>
      <c r="KS10">
        <v>0</v>
      </c>
      <c r="KT10">
        <v>0</v>
      </c>
      <c r="KU10">
        <v>0</v>
      </c>
      <c r="KV10">
        <v>0</v>
      </c>
      <c r="KW10">
        <v>0</v>
      </c>
      <c r="KX10">
        <v>11485104</v>
      </c>
      <c r="KY10">
        <v>104868974</v>
      </c>
      <c r="KZ10">
        <v>0</v>
      </c>
      <c r="LA10">
        <v>3378046</v>
      </c>
      <c r="LB10">
        <v>0</v>
      </c>
      <c r="LC10">
        <v>0</v>
      </c>
      <c r="LD10">
        <v>0</v>
      </c>
      <c r="LE10">
        <v>0</v>
      </c>
      <c r="LF10">
        <v>2322378</v>
      </c>
      <c r="LG10">
        <v>69040444</v>
      </c>
      <c r="LH10">
        <v>4620097</v>
      </c>
      <c r="LI10">
        <v>0</v>
      </c>
      <c r="LJ10">
        <v>3673330</v>
      </c>
      <c r="LK10">
        <v>0</v>
      </c>
      <c r="LL10">
        <v>0</v>
      </c>
      <c r="LM10">
        <v>0</v>
      </c>
      <c r="LN10">
        <v>0</v>
      </c>
      <c r="LO10">
        <v>0</v>
      </c>
      <c r="LP10">
        <v>211148881</v>
      </c>
      <c r="LQ10">
        <v>97251113</v>
      </c>
      <c r="LR10">
        <v>0</v>
      </c>
      <c r="LS10">
        <v>442000868</v>
      </c>
      <c r="LT10">
        <v>0</v>
      </c>
      <c r="LU10">
        <v>0</v>
      </c>
      <c r="LV10">
        <v>0</v>
      </c>
      <c r="LW10">
        <v>0</v>
      </c>
      <c r="LX10">
        <v>0</v>
      </c>
      <c r="LY10">
        <v>1976968</v>
      </c>
      <c r="LZ10">
        <v>7008584</v>
      </c>
      <c r="MA10">
        <v>0</v>
      </c>
      <c r="MB10">
        <v>6565260</v>
      </c>
      <c r="MC10">
        <v>0</v>
      </c>
      <c r="MD10">
        <v>0</v>
      </c>
      <c r="ME10">
        <v>0</v>
      </c>
      <c r="MF10">
        <v>0</v>
      </c>
      <c r="MG10">
        <v>0</v>
      </c>
      <c r="MH10">
        <v>2188785674</v>
      </c>
      <c r="MI10">
        <v>530760215</v>
      </c>
      <c r="MJ10">
        <v>0</v>
      </c>
      <c r="MK10">
        <v>3578998</v>
      </c>
      <c r="ML10">
        <v>0</v>
      </c>
      <c r="MM10">
        <v>0</v>
      </c>
      <c r="MN10">
        <v>0</v>
      </c>
      <c r="MO10">
        <v>0</v>
      </c>
      <c r="MP10">
        <v>0</v>
      </c>
      <c r="MQ10">
        <v>137738530</v>
      </c>
      <c r="MR10">
        <v>2591222</v>
      </c>
      <c r="MS10">
        <v>0</v>
      </c>
      <c r="MT10">
        <v>917942</v>
      </c>
      <c r="MU10">
        <v>0</v>
      </c>
      <c r="MV10">
        <v>0</v>
      </c>
      <c r="MW10">
        <v>0</v>
      </c>
      <c r="MX10">
        <v>0</v>
      </c>
      <c r="MY10">
        <v>0</v>
      </c>
      <c r="MZ10">
        <v>271580</v>
      </c>
      <c r="NA10">
        <v>0</v>
      </c>
      <c r="NB10">
        <v>0</v>
      </c>
      <c r="NC10">
        <v>0</v>
      </c>
      <c r="ND10">
        <v>0</v>
      </c>
      <c r="NE10">
        <v>0</v>
      </c>
      <c r="NF10">
        <v>0</v>
      </c>
      <c r="NG10">
        <v>0</v>
      </c>
      <c r="NH10">
        <v>0</v>
      </c>
      <c r="NI10">
        <v>107499763</v>
      </c>
      <c r="NJ10">
        <v>22997005</v>
      </c>
      <c r="NK10">
        <v>0</v>
      </c>
      <c r="NL10">
        <v>2033638</v>
      </c>
      <c r="NM10">
        <v>0</v>
      </c>
      <c r="NN10">
        <v>0</v>
      </c>
      <c r="NO10">
        <v>0</v>
      </c>
      <c r="NP10">
        <v>0</v>
      </c>
      <c r="NQ10">
        <v>0</v>
      </c>
      <c r="NR10">
        <v>206866393</v>
      </c>
      <c r="NS10">
        <v>334038</v>
      </c>
      <c r="NT10">
        <v>0</v>
      </c>
      <c r="NU10">
        <v>202166</v>
      </c>
      <c r="NV10">
        <v>0</v>
      </c>
      <c r="NW10">
        <v>0</v>
      </c>
      <c r="NX10">
        <v>0</v>
      </c>
      <c r="NY10">
        <v>0</v>
      </c>
      <c r="NZ10">
        <v>0</v>
      </c>
      <c r="OA10">
        <v>97972</v>
      </c>
      <c r="OB10">
        <v>551858</v>
      </c>
      <c r="OC10">
        <v>0</v>
      </c>
      <c r="OD10">
        <v>2162892</v>
      </c>
      <c r="OE10">
        <v>0</v>
      </c>
      <c r="OF10">
        <v>0</v>
      </c>
      <c r="OG10">
        <v>0</v>
      </c>
      <c r="OH10">
        <v>0</v>
      </c>
      <c r="OI10">
        <v>0</v>
      </c>
      <c r="OJ10">
        <v>0</v>
      </c>
      <c r="OK10">
        <v>0</v>
      </c>
      <c r="OL10">
        <v>22631517</v>
      </c>
      <c r="OM10">
        <v>0</v>
      </c>
      <c r="ON10">
        <v>0</v>
      </c>
      <c r="OO10">
        <v>0</v>
      </c>
      <c r="OP10">
        <v>0</v>
      </c>
      <c r="OQ10">
        <v>0</v>
      </c>
      <c r="OR10">
        <v>0</v>
      </c>
      <c r="OS10">
        <v>55984277</v>
      </c>
      <c r="OT10">
        <v>16676924</v>
      </c>
      <c r="OU10">
        <v>304227</v>
      </c>
      <c r="OV10">
        <v>8893775</v>
      </c>
      <c r="OW10">
        <v>0</v>
      </c>
      <c r="OX10">
        <v>0</v>
      </c>
      <c r="OY10">
        <v>0</v>
      </c>
      <c r="OZ10">
        <v>0</v>
      </c>
      <c r="PA10">
        <v>0</v>
      </c>
      <c r="PB10">
        <v>49332</v>
      </c>
      <c r="PC10">
        <v>1028324</v>
      </c>
      <c r="PD10">
        <v>0</v>
      </c>
      <c r="PE10">
        <v>0</v>
      </c>
      <c r="PF10">
        <v>0</v>
      </c>
      <c r="PG10">
        <v>0</v>
      </c>
      <c r="PH10">
        <v>0</v>
      </c>
      <c r="PI10">
        <v>0</v>
      </c>
      <c r="PJ10">
        <v>2865166</v>
      </c>
      <c r="PK10">
        <v>0</v>
      </c>
      <c r="PL10">
        <v>0</v>
      </c>
      <c r="PM10">
        <v>0</v>
      </c>
      <c r="PN10">
        <v>0</v>
      </c>
      <c r="PO10">
        <v>0</v>
      </c>
      <c r="PP10">
        <v>0</v>
      </c>
      <c r="PQ10">
        <v>-290306993</v>
      </c>
      <c r="PR10">
        <v>0</v>
      </c>
      <c r="PS10">
        <v>0</v>
      </c>
      <c r="PT10">
        <v>-370021485</v>
      </c>
      <c r="PU10">
        <v>7523567</v>
      </c>
      <c r="PV10">
        <v>-743</v>
      </c>
      <c r="PW10">
        <v>9582886</v>
      </c>
      <c r="PX10">
        <v>0</v>
      </c>
      <c r="PY10">
        <v>7586931</v>
      </c>
      <c r="PZ10">
        <v>401557776</v>
      </c>
      <c r="QA10">
        <v>0</v>
      </c>
      <c r="QB10">
        <v>-1257865</v>
      </c>
      <c r="QC10">
        <v>0</v>
      </c>
      <c r="QD10">
        <v>0</v>
      </c>
      <c r="QE10">
        <v>0</v>
      </c>
      <c r="QF10">
        <v>0</v>
      </c>
      <c r="QG10">
        <v>0</v>
      </c>
      <c r="QH10">
        <v>0</v>
      </c>
      <c r="QI10">
        <v>55322379</v>
      </c>
      <c r="QJ10">
        <v>0</v>
      </c>
      <c r="QK10">
        <v>0</v>
      </c>
      <c r="QL10">
        <v>-79218248</v>
      </c>
      <c r="QM10">
        <v>0</v>
      </c>
      <c r="QN10">
        <v>-9508534</v>
      </c>
      <c r="QO10">
        <v>0</v>
      </c>
      <c r="QP10">
        <v>0</v>
      </c>
      <c r="QQ10">
        <v>0</v>
      </c>
      <c r="QR10">
        <v>0</v>
      </c>
      <c r="QS10">
        <v>0</v>
      </c>
      <c r="QT10">
        <v>0</v>
      </c>
      <c r="QU10">
        <v>-1026026</v>
      </c>
      <c r="QV10">
        <v>7955686</v>
      </c>
      <c r="QW10">
        <v>0</v>
      </c>
      <c r="QX10">
        <v>0</v>
      </c>
      <c r="QY10">
        <v>0</v>
      </c>
      <c r="QZ10">
        <v>57348652</v>
      </c>
      <c r="RA10">
        <v>0</v>
      </c>
      <c r="RB10">
        <v>0</v>
      </c>
      <c r="RC10">
        <v>0</v>
      </c>
      <c r="RD10">
        <v>0</v>
      </c>
      <c r="RE10">
        <v>0</v>
      </c>
      <c r="RF10">
        <v>0</v>
      </c>
      <c r="RG10">
        <v>330468</v>
      </c>
      <c r="RH10">
        <v>0</v>
      </c>
      <c r="RI10">
        <v>10695715</v>
      </c>
      <c r="RJ10">
        <v>0</v>
      </c>
      <c r="RK10">
        <v>0</v>
      </c>
      <c r="RL10">
        <v>0</v>
      </c>
      <c r="RM10">
        <v>0</v>
      </c>
      <c r="RN10">
        <v>0</v>
      </c>
      <c r="RO10">
        <v>0</v>
      </c>
      <c r="RP10">
        <v>0</v>
      </c>
      <c r="RQ10">
        <v>0</v>
      </c>
      <c r="RR10">
        <v>0</v>
      </c>
      <c r="RS10">
        <v>0</v>
      </c>
      <c r="RT10">
        <v>0</v>
      </c>
      <c r="RU10">
        <v>-365027967</v>
      </c>
      <c r="RV10">
        <v>0</v>
      </c>
      <c r="RW10">
        <v>0</v>
      </c>
      <c r="RX10">
        <v>0</v>
      </c>
      <c r="RY10">
        <v>0</v>
      </c>
      <c r="RZ10">
        <v>0</v>
      </c>
      <c r="SA10">
        <v>0</v>
      </c>
      <c r="SB10">
        <v>0</v>
      </c>
      <c r="SC10">
        <v>0</v>
      </c>
      <c r="SD10">
        <v>0</v>
      </c>
      <c r="SE10">
        <v>0</v>
      </c>
      <c r="SF10">
        <v>0</v>
      </c>
      <c r="SG10">
        <v>0</v>
      </c>
      <c r="SH10">
        <v>0</v>
      </c>
      <c r="SI10">
        <v>0</v>
      </c>
      <c r="SJ10">
        <v>0</v>
      </c>
      <c r="SK10">
        <v>0</v>
      </c>
      <c r="SL10">
        <v>0</v>
      </c>
      <c r="SM10">
        <v>0</v>
      </c>
      <c r="SN10">
        <v>0</v>
      </c>
      <c r="SO10">
        <v>0</v>
      </c>
      <c r="SP10">
        <v>0</v>
      </c>
      <c r="SQ10">
        <v>0</v>
      </c>
      <c r="SR10">
        <v>0</v>
      </c>
      <c r="SS10">
        <v>0</v>
      </c>
      <c r="ST10">
        <v>0</v>
      </c>
      <c r="SU10">
        <v>0</v>
      </c>
      <c r="SV10">
        <v>0</v>
      </c>
      <c r="SW10">
        <v>0</v>
      </c>
      <c r="SX10">
        <v>0</v>
      </c>
      <c r="SY10">
        <v>0</v>
      </c>
      <c r="SZ10">
        <v>0</v>
      </c>
      <c r="TA10">
        <v>0</v>
      </c>
      <c r="TB10">
        <v>0</v>
      </c>
      <c r="TC10">
        <v>0</v>
      </c>
      <c r="TD10">
        <v>0</v>
      </c>
      <c r="TE10">
        <v>372166197</v>
      </c>
      <c r="TF10">
        <v>819484233</v>
      </c>
      <c r="TI10">
        <v>1133906</v>
      </c>
      <c r="TJ10">
        <v>-20421</v>
      </c>
      <c r="TK10">
        <v>244626</v>
      </c>
      <c r="TL10">
        <v>27226187</v>
      </c>
      <c r="TM10">
        <v>0</v>
      </c>
      <c r="TN10">
        <v>40970293</v>
      </c>
      <c r="TO10">
        <v>69446</v>
      </c>
      <c r="TP10">
        <v>225076</v>
      </c>
      <c r="TQ10">
        <v>11763612</v>
      </c>
      <c r="TR10">
        <v>564853</v>
      </c>
      <c r="TS10">
        <v>490883</v>
      </c>
      <c r="TT10">
        <v>304227</v>
      </c>
      <c r="TU10">
        <v>0</v>
      </c>
      <c r="TV10">
        <v>1699462</v>
      </c>
      <c r="TW10">
        <v>0</v>
      </c>
      <c r="TX10">
        <v>0</v>
      </c>
      <c r="TY10">
        <v>0</v>
      </c>
      <c r="TZ10">
        <v>0</v>
      </c>
      <c r="UA10">
        <v>107248</v>
      </c>
      <c r="UB10">
        <v>0</v>
      </c>
      <c r="UC10">
        <v>0</v>
      </c>
      <c r="UD10">
        <v>0</v>
      </c>
      <c r="UE10">
        <v>2018077</v>
      </c>
      <c r="UF10">
        <v>0</v>
      </c>
      <c r="UG10">
        <v>0</v>
      </c>
      <c r="UH10">
        <v>0</v>
      </c>
      <c r="UI10">
        <v>0</v>
      </c>
      <c r="UJ10">
        <v>0</v>
      </c>
      <c r="UK10">
        <v>0</v>
      </c>
      <c r="UL10">
        <v>0</v>
      </c>
      <c r="UM10">
        <v>7467530259</v>
      </c>
      <c r="UN10">
        <v>3787134659</v>
      </c>
      <c r="UO10">
        <v>77333871</v>
      </c>
      <c r="UP10">
        <v>750400862</v>
      </c>
      <c r="UQ10">
        <v>15550812</v>
      </c>
      <c r="UR10">
        <v>2723124887</v>
      </c>
      <c r="US10">
        <v>141247694</v>
      </c>
      <c r="UT10">
        <v>271580</v>
      </c>
      <c r="UU10">
        <v>132530406</v>
      </c>
      <c r="UV10">
        <v>207402597</v>
      </c>
      <c r="UW10">
        <v>2812722</v>
      </c>
      <c r="UX10">
        <v>22631517</v>
      </c>
      <c r="UY10">
        <v>737041508</v>
      </c>
      <c r="UZ10">
        <v>64278312</v>
      </c>
      <c r="VC10" t="s">
        <v>1605</v>
      </c>
      <c r="VD10" t="s">
        <v>1606</v>
      </c>
      <c r="VE10" s="638" t="s">
        <v>1607</v>
      </c>
    </row>
    <row r="11" spans="1:577" ht="45.75" thickBot="1">
      <c r="A11" s="447">
        <v>440</v>
      </c>
      <c r="B11" s="445" t="s">
        <v>1297</v>
      </c>
      <c r="C11" s="446" t="s">
        <v>333</v>
      </c>
      <c r="D11" t="s">
        <v>1421</v>
      </c>
      <c r="E11" s="859">
        <v>42439</v>
      </c>
      <c r="F11" s="534">
        <v>1018736420</v>
      </c>
      <c r="G11" s="491" t="s">
        <v>1422</v>
      </c>
      <c r="H11" s="50" t="s">
        <v>1297</v>
      </c>
      <c r="M11">
        <v>51387510</v>
      </c>
      <c r="N11">
        <v>0</v>
      </c>
      <c r="O11">
        <v>0</v>
      </c>
      <c r="P11">
        <v>0</v>
      </c>
      <c r="Q11">
        <v>0</v>
      </c>
      <c r="R11">
        <v>0</v>
      </c>
      <c r="S11">
        <v>0</v>
      </c>
      <c r="T11">
        <v>0</v>
      </c>
      <c r="U11">
        <v>0</v>
      </c>
      <c r="V11">
        <v>9216250</v>
      </c>
      <c r="W11">
        <v>867539</v>
      </c>
      <c r="X11">
        <v>0</v>
      </c>
      <c r="Y11">
        <v>3057271</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-58100</v>
      </c>
      <c r="BG11">
        <v>0</v>
      </c>
      <c r="BH11">
        <v>0</v>
      </c>
      <c r="BI11">
        <v>0</v>
      </c>
      <c r="BJ11">
        <v>0</v>
      </c>
      <c r="BK11">
        <v>0</v>
      </c>
      <c r="BL11">
        <v>0</v>
      </c>
      <c r="BM11">
        <v>0</v>
      </c>
      <c r="BN11">
        <v>0</v>
      </c>
      <c r="BO11">
        <v>-49140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66732</v>
      </c>
      <c r="CQ11">
        <v>87308</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990</v>
      </c>
      <c r="GC11">
        <v>27937</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2110775</v>
      </c>
      <c r="IF11">
        <v>0</v>
      </c>
      <c r="IG11">
        <v>8115738</v>
      </c>
      <c r="IH11">
        <v>0</v>
      </c>
      <c r="II11">
        <v>0</v>
      </c>
      <c r="IJ11">
        <v>0</v>
      </c>
      <c r="IK11">
        <v>0</v>
      </c>
      <c r="IL11">
        <v>0</v>
      </c>
      <c r="IM11">
        <v>0</v>
      </c>
      <c r="IN11">
        <v>17429053</v>
      </c>
      <c r="IO11">
        <v>0</v>
      </c>
      <c r="IP11">
        <v>0</v>
      </c>
      <c r="IQ11">
        <v>0</v>
      </c>
      <c r="IR11">
        <v>0</v>
      </c>
      <c r="IS11">
        <v>0</v>
      </c>
      <c r="IT11">
        <v>0</v>
      </c>
      <c r="IU11">
        <v>0</v>
      </c>
      <c r="IV11">
        <v>62486035</v>
      </c>
      <c r="IW11">
        <v>0</v>
      </c>
      <c r="IX11">
        <v>0</v>
      </c>
      <c r="IY11">
        <v>0</v>
      </c>
      <c r="IZ11">
        <v>0</v>
      </c>
      <c r="JA11">
        <v>0</v>
      </c>
      <c r="JB11">
        <v>0</v>
      </c>
      <c r="JC11">
        <v>0</v>
      </c>
      <c r="JD11">
        <v>0</v>
      </c>
      <c r="JE11">
        <v>52177</v>
      </c>
      <c r="JF11">
        <v>3775489</v>
      </c>
      <c r="JG11">
        <v>0</v>
      </c>
      <c r="JH11">
        <v>634948</v>
      </c>
      <c r="JI11">
        <v>0</v>
      </c>
      <c r="JJ11">
        <v>0</v>
      </c>
      <c r="JK11">
        <v>0</v>
      </c>
      <c r="JL11">
        <v>0</v>
      </c>
      <c r="JM11">
        <v>0</v>
      </c>
      <c r="JN11">
        <v>0</v>
      </c>
      <c r="JO11">
        <v>0</v>
      </c>
      <c r="JP11">
        <v>0</v>
      </c>
      <c r="JQ11">
        <v>0</v>
      </c>
      <c r="JR11">
        <v>0</v>
      </c>
      <c r="JS11">
        <v>0</v>
      </c>
      <c r="JT11">
        <v>0</v>
      </c>
      <c r="JU11">
        <v>0</v>
      </c>
      <c r="JV11">
        <v>0</v>
      </c>
      <c r="JW11">
        <v>1138377</v>
      </c>
      <c r="JX11">
        <v>4848342</v>
      </c>
      <c r="JY11">
        <v>0</v>
      </c>
      <c r="JZ11">
        <v>4725930</v>
      </c>
      <c r="KA11">
        <v>0</v>
      </c>
      <c r="KB11">
        <v>0</v>
      </c>
      <c r="KC11">
        <v>617641</v>
      </c>
      <c r="KD11">
        <v>0</v>
      </c>
      <c r="KE11">
        <v>0</v>
      </c>
      <c r="KF11">
        <v>1262423</v>
      </c>
      <c r="KG11">
        <v>1939275</v>
      </c>
      <c r="KH11">
        <v>0</v>
      </c>
      <c r="KI11">
        <v>477323</v>
      </c>
      <c r="KJ11">
        <v>0</v>
      </c>
      <c r="KK11">
        <v>0</v>
      </c>
      <c r="KL11">
        <v>0</v>
      </c>
      <c r="KM11">
        <v>0</v>
      </c>
      <c r="KN11">
        <v>0</v>
      </c>
      <c r="KO11">
        <v>0</v>
      </c>
      <c r="KP11">
        <v>0</v>
      </c>
      <c r="KQ11">
        <v>164836</v>
      </c>
      <c r="KR11">
        <v>0</v>
      </c>
      <c r="KS11">
        <v>0</v>
      </c>
      <c r="KT11">
        <v>0</v>
      </c>
      <c r="KU11">
        <v>0</v>
      </c>
      <c r="KV11">
        <v>0</v>
      </c>
      <c r="KW11">
        <v>0</v>
      </c>
      <c r="KX11">
        <v>1089850</v>
      </c>
      <c r="KY11">
        <v>22284252</v>
      </c>
      <c r="KZ11">
        <v>0</v>
      </c>
      <c r="LA11">
        <v>85148</v>
      </c>
      <c r="LB11">
        <v>0</v>
      </c>
      <c r="LC11">
        <v>0</v>
      </c>
      <c r="LD11">
        <v>0</v>
      </c>
      <c r="LE11">
        <v>0</v>
      </c>
      <c r="LF11">
        <v>-267523</v>
      </c>
      <c r="LG11">
        <v>8583696</v>
      </c>
      <c r="LH11">
        <v>4544795</v>
      </c>
      <c r="LI11">
        <v>0</v>
      </c>
      <c r="LJ11">
        <v>4245019</v>
      </c>
      <c r="LK11">
        <v>0</v>
      </c>
      <c r="LL11">
        <v>0</v>
      </c>
      <c r="LM11">
        <v>0</v>
      </c>
      <c r="LN11">
        <v>0</v>
      </c>
      <c r="LO11">
        <v>0</v>
      </c>
      <c r="LP11">
        <v>4652688</v>
      </c>
      <c r="LQ11">
        <v>2902864</v>
      </c>
      <c r="LR11">
        <v>0</v>
      </c>
      <c r="LS11">
        <v>8391376</v>
      </c>
      <c r="LT11">
        <v>0</v>
      </c>
      <c r="LU11">
        <v>0</v>
      </c>
      <c r="LV11">
        <v>0</v>
      </c>
      <c r="LW11">
        <v>0</v>
      </c>
      <c r="LX11">
        <v>0</v>
      </c>
      <c r="LY11">
        <v>0</v>
      </c>
      <c r="LZ11">
        <v>0</v>
      </c>
      <c r="MA11">
        <v>0</v>
      </c>
      <c r="MB11">
        <v>0</v>
      </c>
      <c r="MC11">
        <v>0</v>
      </c>
      <c r="MD11">
        <v>0</v>
      </c>
      <c r="ME11">
        <v>0</v>
      </c>
      <c r="MF11">
        <v>0</v>
      </c>
      <c r="MG11">
        <v>0</v>
      </c>
      <c r="MH11">
        <v>115951468</v>
      </c>
      <c r="MI11">
        <v>29102036</v>
      </c>
      <c r="MJ11">
        <v>0</v>
      </c>
      <c r="MK11">
        <v>1778853</v>
      </c>
      <c r="ML11">
        <v>0</v>
      </c>
      <c r="MM11">
        <v>0</v>
      </c>
      <c r="MN11">
        <v>0</v>
      </c>
      <c r="MO11">
        <v>0</v>
      </c>
      <c r="MP11">
        <v>0</v>
      </c>
      <c r="MQ11">
        <v>1326228</v>
      </c>
      <c r="MR11">
        <v>10467</v>
      </c>
      <c r="MS11">
        <v>0</v>
      </c>
      <c r="MT11">
        <v>52641</v>
      </c>
      <c r="MU11">
        <v>0</v>
      </c>
      <c r="MV11">
        <v>0</v>
      </c>
      <c r="MW11">
        <v>0</v>
      </c>
      <c r="MX11">
        <v>0</v>
      </c>
      <c r="MY11">
        <v>0</v>
      </c>
      <c r="MZ11">
        <v>0</v>
      </c>
      <c r="NA11">
        <v>0</v>
      </c>
      <c r="NB11">
        <v>0</v>
      </c>
      <c r="NC11">
        <v>0</v>
      </c>
      <c r="ND11">
        <v>0</v>
      </c>
      <c r="NE11">
        <v>0</v>
      </c>
      <c r="NF11">
        <v>0</v>
      </c>
      <c r="NG11">
        <v>0</v>
      </c>
      <c r="NH11">
        <v>0</v>
      </c>
      <c r="NI11">
        <v>18529345</v>
      </c>
      <c r="NJ11">
        <v>1343622</v>
      </c>
      <c r="NK11">
        <v>0</v>
      </c>
      <c r="NL11">
        <v>100513</v>
      </c>
      <c r="NM11">
        <v>0</v>
      </c>
      <c r="NN11">
        <v>0</v>
      </c>
      <c r="NO11">
        <v>0</v>
      </c>
      <c r="NP11">
        <v>0</v>
      </c>
      <c r="NQ11">
        <v>0</v>
      </c>
      <c r="NR11">
        <v>9231271</v>
      </c>
      <c r="NS11">
        <v>0</v>
      </c>
      <c r="NT11">
        <v>0</v>
      </c>
      <c r="NU11">
        <v>0</v>
      </c>
      <c r="NV11">
        <v>0</v>
      </c>
      <c r="NW11">
        <v>0</v>
      </c>
      <c r="NX11">
        <v>985526</v>
      </c>
      <c r="NY11">
        <v>0</v>
      </c>
      <c r="NZ11">
        <v>0</v>
      </c>
      <c r="OA11">
        <v>0</v>
      </c>
      <c r="OB11">
        <v>0</v>
      </c>
      <c r="OC11">
        <v>0</v>
      </c>
      <c r="OD11">
        <v>35175</v>
      </c>
      <c r="OE11">
        <v>0</v>
      </c>
      <c r="OF11">
        <v>0</v>
      </c>
      <c r="OG11">
        <v>0</v>
      </c>
      <c r="OH11">
        <v>0</v>
      </c>
      <c r="OI11">
        <v>0</v>
      </c>
      <c r="OJ11">
        <v>0</v>
      </c>
      <c r="OK11">
        <v>0</v>
      </c>
      <c r="OL11">
        <v>144548</v>
      </c>
      <c r="OM11">
        <v>0</v>
      </c>
      <c r="ON11">
        <v>0</v>
      </c>
      <c r="OO11">
        <v>0</v>
      </c>
      <c r="OP11">
        <v>0</v>
      </c>
      <c r="OQ11">
        <v>0</v>
      </c>
      <c r="OR11">
        <v>0</v>
      </c>
      <c r="OS11">
        <v>924832</v>
      </c>
      <c r="OT11">
        <v>68744</v>
      </c>
      <c r="OU11">
        <v>0</v>
      </c>
      <c r="OV11">
        <v>349948</v>
      </c>
      <c r="OW11">
        <v>0</v>
      </c>
      <c r="OX11">
        <v>0</v>
      </c>
      <c r="OY11">
        <v>0</v>
      </c>
      <c r="OZ11">
        <v>0</v>
      </c>
      <c r="PA11">
        <v>0</v>
      </c>
      <c r="PB11">
        <v>0</v>
      </c>
      <c r="PC11">
        <v>0</v>
      </c>
      <c r="PD11">
        <v>0</v>
      </c>
      <c r="PE11">
        <v>0</v>
      </c>
      <c r="PF11">
        <v>0</v>
      </c>
      <c r="PG11">
        <v>0</v>
      </c>
      <c r="PH11">
        <v>0</v>
      </c>
      <c r="PI11">
        <v>0</v>
      </c>
      <c r="PJ11">
        <v>0</v>
      </c>
      <c r="PK11">
        <v>0</v>
      </c>
      <c r="PL11">
        <v>0</v>
      </c>
      <c r="PM11">
        <v>0</v>
      </c>
      <c r="PN11">
        <v>0</v>
      </c>
      <c r="PO11">
        <v>0</v>
      </c>
      <c r="PP11">
        <v>0</v>
      </c>
      <c r="PQ11">
        <v>-31128291</v>
      </c>
      <c r="PR11">
        <v>0</v>
      </c>
      <c r="PS11">
        <v>0</v>
      </c>
      <c r="PT11">
        <v>35860537</v>
      </c>
      <c r="PU11">
        <v>-31386613</v>
      </c>
      <c r="PV11">
        <v>0</v>
      </c>
      <c r="PW11">
        <v>-1839108</v>
      </c>
      <c r="PX11">
        <v>0</v>
      </c>
      <c r="PY11">
        <v>24463</v>
      </c>
      <c r="PZ11">
        <v>-2407360</v>
      </c>
      <c r="QA11">
        <v>0</v>
      </c>
      <c r="QB11">
        <v>-37535</v>
      </c>
      <c r="QC11">
        <v>0</v>
      </c>
      <c r="QD11">
        <v>0</v>
      </c>
      <c r="QE11">
        <v>0</v>
      </c>
      <c r="QF11">
        <v>0</v>
      </c>
      <c r="QG11">
        <v>0</v>
      </c>
      <c r="QH11">
        <v>0</v>
      </c>
      <c r="QI11">
        <v>32034979</v>
      </c>
      <c r="QJ11">
        <v>0</v>
      </c>
      <c r="QK11">
        <v>0</v>
      </c>
      <c r="QL11">
        <v>-6997201</v>
      </c>
      <c r="QM11">
        <v>0</v>
      </c>
      <c r="QN11">
        <v>0</v>
      </c>
      <c r="QO11">
        <v>0</v>
      </c>
      <c r="QP11">
        <v>0</v>
      </c>
      <c r="QQ11">
        <v>0</v>
      </c>
      <c r="QR11">
        <v>-703344</v>
      </c>
      <c r="QS11">
        <v>0</v>
      </c>
      <c r="QT11">
        <v>0</v>
      </c>
      <c r="QU11">
        <v>16911</v>
      </c>
      <c r="QV11">
        <v>-54945</v>
      </c>
      <c r="QW11">
        <v>0</v>
      </c>
      <c r="QX11">
        <v>13416</v>
      </c>
      <c r="QY11">
        <v>0</v>
      </c>
      <c r="QZ11">
        <v>2407484</v>
      </c>
      <c r="RA11">
        <v>0</v>
      </c>
      <c r="RB11">
        <v>0</v>
      </c>
      <c r="RC11">
        <v>0</v>
      </c>
      <c r="RD11">
        <v>0</v>
      </c>
      <c r="RE11">
        <v>0</v>
      </c>
      <c r="RF11">
        <v>0</v>
      </c>
      <c r="RG11">
        <v>0</v>
      </c>
      <c r="RH11">
        <v>0</v>
      </c>
      <c r="RI11">
        <v>0</v>
      </c>
      <c r="RJ11">
        <v>0</v>
      </c>
      <c r="RK11">
        <v>0</v>
      </c>
      <c r="RL11">
        <v>0</v>
      </c>
      <c r="RM11">
        <v>0</v>
      </c>
      <c r="RN11">
        <v>0</v>
      </c>
      <c r="RO11">
        <v>0</v>
      </c>
      <c r="RP11">
        <v>0</v>
      </c>
      <c r="RQ11">
        <v>0</v>
      </c>
      <c r="RR11">
        <v>0</v>
      </c>
      <c r="RS11">
        <v>0</v>
      </c>
      <c r="RT11">
        <v>0</v>
      </c>
      <c r="RU11">
        <v>-13966143</v>
      </c>
      <c r="RV11">
        <v>0</v>
      </c>
      <c r="RW11">
        <v>0</v>
      </c>
      <c r="RX11">
        <v>0</v>
      </c>
      <c r="RY11">
        <v>0</v>
      </c>
      <c r="RZ11">
        <v>0</v>
      </c>
      <c r="SA11">
        <v>0</v>
      </c>
      <c r="SB11">
        <v>0</v>
      </c>
      <c r="SC11">
        <v>0</v>
      </c>
      <c r="SD11">
        <v>0</v>
      </c>
      <c r="SE11">
        <v>0</v>
      </c>
      <c r="SF11">
        <v>0</v>
      </c>
      <c r="SG11">
        <v>0</v>
      </c>
      <c r="SH11">
        <v>0</v>
      </c>
      <c r="SI11">
        <v>0</v>
      </c>
      <c r="SJ11">
        <v>0</v>
      </c>
      <c r="SK11">
        <v>0</v>
      </c>
      <c r="SL11">
        <v>0</v>
      </c>
      <c r="SM11">
        <v>0</v>
      </c>
      <c r="SN11">
        <v>0</v>
      </c>
      <c r="SO11">
        <v>0</v>
      </c>
      <c r="SP11">
        <v>0</v>
      </c>
      <c r="SQ11">
        <v>0</v>
      </c>
      <c r="SR11">
        <v>0</v>
      </c>
      <c r="SS11">
        <v>0</v>
      </c>
      <c r="ST11">
        <v>0</v>
      </c>
      <c r="SU11">
        <v>0</v>
      </c>
      <c r="SV11">
        <v>31</v>
      </c>
      <c r="SW11">
        <v>0</v>
      </c>
      <c r="SX11">
        <v>0</v>
      </c>
      <c r="SY11">
        <v>0</v>
      </c>
      <c r="SZ11">
        <v>0</v>
      </c>
      <c r="TA11">
        <v>0</v>
      </c>
      <c r="TB11">
        <v>0</v>
      </c>
      <c r="TC11">
        <v>0</v>
      </c>
      <c r="TD11">
        <v>0</v>
      </c>
      <c r="TE11">
        <v>32471815</v>
      </c>
      <c r="TF11">
        <v>-1264933</v>
      </c>
      <c r="TI11">
        <v>182967</v>
      </c>
      <c r="TJ11">
        <v>0</v>
      </c>
      <c r="TK11">
        <v>25830</v>
      </c>
      <c r="TL11">
        <v>1099244</v>
      </c>
      <c r="TM11">
        <v>0</v>
      </c>
      <c r="TN11">
        <v>216155</v>
      </c>
      <c r="TO11">
        <v>2295</v>
      </c>
      <c r="TP11">
        <v>0</v>
      </c>
      <c r="TQ11">
        <v>0</v>
      </c>
      <c r="TR11">
        <v>0</v>
      </c>
      <c r="TS11">
        <v>0</v>
      </c>
      <c r="TT11">
        <v>0</v>
      </c>
      <c r="TU11">
        <v>0</v>
      </c>
      <c r="TV11">
        <v>452787</v>
      </c>
      <c r="TW11">
        <v>0</v>
      </c>
      <c r="TX11">
        <v>0</v>
      </c>
      <c r="TY11">
        <v>0</v>
      </c>
      <c r="TZ11">
        <v>0</v>
      </c>
      <c r="UA11">
        <v>0</v>
      </c>
      <c r="UB11">
        <v>0</v>
      </c>
      <c r="UC11">
        <v>0</v>
      </c>
      <c r="UD11">
        <v>0</v>
      </c>
      <c r="UE11">
        <v>0</v>
      </c>
      <c r="UF11">
        <v>0</v>
      </c>
      <c r="UG11">
        <v>0</v>
      </c>
      <c r="UH11">
        <v>0</v>
      </c>
      <c r="UI11">
        <v>0</v>
      </c>
      <c r="UJ11">
        <v>0</v>
      </c>
      <c r="UK11">
        <v>0</v>
      </c>
      <c r="UL11">
        <v>0</v>
      </c>
      <c r="UM11">
        <v>221707202</v>
      </c>
      <c r="UN11">
        <v>159221166</v>
      </c>
      <c r="UO11">
        <v>17373510</v>
      </c>
      <c r="UP11">
        <v>15946928</v>
      </c>
      <c r="UQ11">
        <v>0</v>
      </c>
      <c r="UR11">
        <v>146832357</v>
      </c>
      <c r="US11">
        <v>1389336</v>
      </c>
      <c r="UT11">
        <v>0</v>
      </c>
      <c r="UU11">
        <v>19973480</v>
      </c>
      <c r="UV11">
        <v>10216797</v>
      </c>
      <c r="UW11">
        <v>35175</v>
      </c>
      <c r="UX11">
        <v>144548</v>
      </c>
      <c r="UY11">
        <v>0</v>
      </c>
      <c r="UZ11">
        <v>0</v>
      </c>
      <c r="VC11" t="s">
        <v>1608</v>
      </c>
      <c r="VD11" t="s">
        <v>1609</v>
      </c>
      <c r="VE11" s="638" t="s">
        <v>1610</v>
      </c>
    </row>
    <row r="12" spans="1:577" ht="48" customHeight="1" thickBot="1">
      <c r="A12" s="447">
        <v>450</v>
      </c>
      <c r="B12" s="445" t="s">
        <v>102</v>
      </c>
      <c r="C12" s="446" t="s">
        <v>334</v>
      </c>
      <c r="D12" t="s">
        <v>1421</v>
      </c>
      <c r="E12" s="859">
        <v>89</v>
      </c>
      <c r="F12" s="534">
        <v>1077886680</v>
      </c>
      <c r="G12" s="491" t="s">
        <v>1422</v>
      </c>
      <c r="H12" t="s">
        <v>102</v>
      </c>
      <c r="M12">
        <v>161801242</v>
      </c>
      <c r="N12">
        <v>0</v>
      </c>
      <c r="O12">
        <v>0</v>
      </c>
      <c r="P12">
        <v>0</v>
      </c>
      <c r="Q12">
        <v>0</v>
      </c>
      <c r="R12">
        <v>0</v>
      </c>
      <c r="S12">
        <v>0</v>
      </c>
      <c r="T12">
        <v>0</v>
      </c>
      <c r="U12">
        <v>0</v>
      </c>
      <c r="V12">
        <v>566299</v>
      </c>
      <c r="W12">
        <v>268392</v>
      </c>
      <c r="X12">
        <v>0</v>
      </c>
      <c r="Y12">
        <v>4757176</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18599332</v>
      </c>
      <c r="AY12">
        <v>0</v>
      </c>
      <c r="AZ12">
        <v>0</v>
      </c>
      <c r="BA12">
        <v>0</v>
      </c>
      <c r="BB12">
        <v>0</v>
      </c>
      <c r="BC12">
        <v>0</v>
      </c>
      <c r="BD12">
        <v>0</v>
      </c>
      <c r="BE12">
        <v>0</v>
      </c>
      <c r="BF12">
        <v>-2589708</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18241623</v>
      </c>
      <c r="CQ12">
        <v>9530815</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-252792</v>
      </c>
      <c r="DR12">
        <v>-166670</v>
      </c>
      <c r="DS12">
        <v>0</v>
      </c>
      <c r="DT12">
        <v>0</v>
      </c>
      <c r="DU12">
        <v>0</v>
      </c>
      <c r="DV12">
        <v>0</v>
      </c>
      <c r="DW12">
        <v>0</v>
      </c>
      <c r="DX12">
        <v>0</v>
      </c>
      <c r="DY12">
        <v>0</v>
      </c>
      <c r="DZ12">
        <v>0</v>
      </c>
      <c r="EA12">
        <v>0</v>
      </c>
      <c r="EB12">
        <v>0</v>
      </c>
      <c r="EC12">
        <v>0</v>
      </c>
      <c r="ED12">
        <v>0</v>
      </c>
      <c r="EE12">
        <v>0</v>
      </c>
      <c r="EF12">
        <v>0</v>
      </c>
      <c r="EG12">
        <v>0</v>
      </c>
      <c r="EH12">
        <v>0</v>
      </c>
      <c r="EI12">
        <v>-1384092</v>
      </c>
      <c r="EJ12">
        <v>-688563</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67581</v>
      </c>
      <c r="GC12">
        <v>12856685</v>
      </c>
      <c r="GD12">
        <v>1214818</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-924</v>
      </c>
      <c r="HD12">
        <v>-245628</v>
      </c>
      <c r="HE12">
        <v>-25435</v>
      </c>
      <c r="HF12">
        <v>0</v>
      </c>
      <c r="HG12">
        <v>0</v>
      </c>
      <c r="HH12">
        <v>0</v>
      </c>
      <c r="HI12">
        <v>0</v>
      </c>
      <c r="HJ12">
        <v>0</v>
      </c>
      <c r="HK12">
        <v>0</v>
      </c>
      <c r="HL12">
        <v>0</v>
      </c>
      <c r="HM12">
        <v>0</v>
      </c>
      <c r="HN12">
        <v>0</v>
      </c>
      <c r="HO12">
        <v>0</v>
      </c>
      <c r="HP12">
        <v>0</v>
      </c>
      <c r="HQ12">
        <v>0</v>
      </c>
      <c r="HR12">
        <v>0</v>
      </c>
      <c r="HS12">
        <v>0</v>
      </c>
      <c r="HT12">
        <v>0</v>
      </c>
      <c r="HU12">
        <v>-5140</v>
      </c>
      <c r="HV12">
        <v>-908047</v>
      </c>
      <c r="HW12">
        <v>-83575</v>
      </c>
      <c r="HX12">
        <v>0</v>
      </c>
      <c r="HY12">
        <v>0</v>
      </c>
      <c r="HZ12">
        <v>0</v>
      </c>
      <c r="IA12">
        <v>0</v>
      </c>
      <c r="IB12">
        <v>0</v>
      </c>
      <c r="IC12">
        <v>0</v>
      </c>
      <c r="ID12">
        <v>0</v>
      </c>
      <c r="IE12">
        <v>9896943</v>
      </c>
      <c r="IF12">
        <v>0</v>
      </c>
      <c r="IG12">
        <v>32273266</v>
      </c>
      <c r="IH12">
        <v>0</v>
      </c>
      <c r="II12">
        <v>0</v>
      </c>
      <c r="IJ12">
        <v>0</v>
      </c>
      <c r="IK12">
        <v>0</v>
      </c>
      <c r="IL12">
        <v>0</v>
      </c>
      <c r="IM12">
        <v>0</v>
      </c>
      <c r="IN12">
        <v>0</v>
      </c>
      <c r="IO12">
        <v>0</v>
      </c>
      <c r="IP12">
        <v>0</v>
      </c>
      <c r="IQ12">
        <v>0</v>
      </c>
      <c r="IR12">
        <v>0</v>
      </c>
      <c r="IS12">
        <v>0</v>
      </c>
      <c r="IT12">
        <v>0</v>
      </c>
      <c r="IU12">
        <v>0</v>
      </c>
      <c r="IV12">
        <v>0</v>
      </c>
      <c r="IW12">
        <v>0</v>
      </c>
      <c r="IX12">
        <v>0</v>
      </c>
      <c r="IY12">
        <v>0</v>
      </c>
      <c r="IZ12">
        <v>0</v>
      </c>
      <c r="JA12">
        <v>0</v>
      </c>
      <c r="JB12">
        <v>0</v>
      </c>
      <c r="JC12">
        <v>0</v>
      </c>
      <c r="JD12">
        <v>0</v>
      </c>
      <c r="JE12">
        <v>2203820</v>
      </c>
      <c r="JF12">
        <v>8225639</v>
      </c>
      <c r="JG12">
        <v>0</v>
      </c>
      <c r="JH12">
        <v>325931</v>
      </c>
      <c r="JI12">
        <v>26699</v>
      </c>
      <c r="JJ12">
        <v>492704</v>
      </c>
      <c r="JK12">
        <v>0</v>
      </c>
      <c r="JL12">
        <v>0</v>
      </c>
      <c r="JM12">
        <v>0</v>
      </c>
      <c r="JN12">
        <v>0</v>
      </c>
      <c r="JO12">
        <v>0</v>
      </c>
      <c r="JP12">
        <v>0</v>
      </c>
      <c r="JQ12">
        <v>0</v>
      </c>
      <c r="JR12">
        <v>0</v>
      </c>
      <c r="JS12">
        <v>0</v>
      </c>
      <c r="JT12">
        <v>0</v>
      </c>
      <c r="JU12">
        <v>0</v>
      </c>
      <c r="JV12">
        <v>0</v>
      </c>
      <c r="JW12">
        <v>0</v>
      </c>
      <c r="JX12">
        <v>1170058</v>
      </c>
      <c r="JY12">
        <v>0</v>
      </c>
      <c r="JZ12">
        <v>11402336</v>
      </c>
      <c r="KA12">
        <v>0</v>
      </c>
      <c r="KB12">
        <v>500000</v>
      </c>
      <c r="KC12">
        <v>0</v>
      </c>
      <c r="KD12">
        <v>0</v>
      </c>
      <c r="KE12">
        <v>0</v>
      </c>
      <c r="KF12">
        <v>8063194</v>
      </c>
      <c r="KG12">
        <v>32638265</v>
      </c>
      <c r="KH12">
        <v>0</v>
      </c>
      <c r="KI12">
        <v>16453</v>
      </c>
      <c r="KJ12">
        <v>0</v>
      </c>
      <c r="KK12">
        <v>0</v>
      </c>
      <c r="KL12">
        <v>0</v>
      </c>
      <c r="KM12">
        <v>0</v>
      </c>
      <c r="KN12">
        <v>0</v>
      </c>
      <c r="KO12">
        <v>0</v>
      </c>
      <c r="KP12">
        <v>0</v>
      </c>
      <c r="KQ12">
        <v>1966031</v>
      </c>
      <c r="KR12">
        <v>0</v>
      </c>
      <c r="KS12">
        <v>0</v>
      </c>
      <c r="KT12">
        <v>0</v>
      </c>
      <c r="KU12">
        <v>0</v>
      </c>
      <c r="KV12">
        <v>0</v>
      </c>
      <c r="KW12">
        <v>0</v>
      </c>
      <c r="KX12">
        <v>0</v>
      </c>
      <c r="KY12">
        <v>6727511</v>
      </c>
      <c r="KZ12">
        <v>30340</v>
      </c>
      <c r="LA12">
        <v>1356519</v>
      </c>
      <c r="LB12">
        <v>104841</v>
      </c>
      <c r="LC12">
        <v>0</v>
      </c>
      <c r="LD12">
        <v>0</v>
      </c>
      <c r="LE12">
        <v>0</v>
      </c>
      <c r="LF12">
        <v>3600637</v>
      </c>
      <c r="LG12">
        <v>85533437</v>
      </c>
      <c r="LH12">
        <v>27142893</v>
      </c>
      <c r="LI12">
        <v>0</v>
      </c>
      <c r="LJ12">
        <v>2379161</v>
      </c>
      <c r="LK12">
        <v>0</v>
      </c>
      <c r="LL12">
        <v>0</v>
      </c>
      <c r="LM12">
        <v>0</v>
      </c>
      <c r="LN12">
        <v>0</v>
      </c>
      <c r="LO12">
        <v>0</v>
      </c>
      <c r="LP12">
        <v>17161292</v>
      </c>
      <c r="LQ12">
        <v>11443799</v>
      </c>
      <c r="LR12">
        <v>0</v>
      </c>
      <c r="LS12">
        <v>41285557</v>
      </c>
      <c r="LT12">
        <v>0</v>
      </c>
      <c r="LU12">
        <v>0</v>
      </c>
      <c r="LV12">
        <v>99266</v>
      </c>
      <c r="LW12">
        <v>0</v>
      </c>
      <c r="LX12">
        <v>0</v>
      </c>
      <c r="LY12">
        <v>3632489</v>
      </c>
      <c r="LZ12">
        <v>5553130</v>
      </c>
      <c r="MA12">
        <v>0</v>
      </c>
      <c r="MB12">
        <v>2121794</v>
      </c>
      <c r="MC12">
        <v>0</v>
      </c>
      <c r="MD12">
        <v>0</v>
      </c>
      <c r="ME12">
        <v>0</v>
      </c>
      <c r="MF12">
        <v>0</v>
      </c>
      <c r="MG12">
        <v>0</v>
      </c>
      <c r="MH12">
        <v>0</v>
      </c>
      <c r="MI12">
        <v>0</v>
      </c>
      <c r="MJ12">
        <v>0</v>
      </c>
      <c r="MK12">
        <v>0</v>
      </c>
      <c r="ML12">
        <v>0</v>
      </c>
      <c r="MM12">
        <v>0</v>
      </c>
      <c r="MN12">
        <v>0</v>
      </c>
      <c r="MO12">
        <v>0</v>
      </c>
      <c r="MP12">
        <v>0</v>
      </c>
      <c r="MQ12">
        <v>26053140</v>
      </c>
      <c r="MR12">
        <v>6701475</v>
      </c>
      <c r="MS12">
        <v>0</v>
      </c>
      <c r="MT12">
        <v>367794</v>
      </c>
      <c r="MU12">
        <v>0</v>
      </c>
      <c r="MV12">
        <v>0</v>
      </c>
      <c r="MW12">
        <v>0</v>
      </c>
      <c r="MX12">
        <v>0</v>
      </c>
      <c r="MY12">
        <v>0</v>
      </c>
      <c r="MZ12">
        <v>3126621</v>
      </c>
      <c r="NA12">
        <v>2242142</v>
      </c>
      <c r="NB12">
        <v>0</v>
      </c>
      <c r="NC12">
        <v>70881</v>
      </c>
      <c r="ND12">
        <v>-471</v>
      </c>
      <c r="NE12">
        <v>0</v>
      </c>
      <c r="NF12">
        <v>0</v>
      </c>
      <c r="NG12">
        <v>0</v>
      </c>
      <c r="NH12">
        <v>0</v>
      </c>
      <c r="NI12">
        <v>11530555</v>
      </c>
      <c r="NJ12">
        <v>2803104</v>
      </c>
      <c r="NK12">
        <v>0</v>
      </c>
      <c r="NL12">
        <v>89729</v>
      </c>
      <c r="NM12">
        <v>0</v>
      </c>
      <c r="NN12">
        <v>0</v>
      </c>
      <c r="NO12">
        <v>0</v>
      </c>
      <c r="NP12">
        <v>0</v>
      </c>
      <c r="NQ12">
        <v>0</v>
      </c>
      <c r="NR12">
        <v>11061680</v>
      </c>
      <c r="NS12">
        <v>12362296</v>
      </c>
      <c r="NT12">
        <v>0</v>
      </c>
      <c r="NU12">
        <v>2027</v>
      </c>
      <c r="NV12">
        <v>0</v>
      </c>
      <c r="NW12">
        <v>0</v>
      </c>
      <c r="NX12">
        <v>168250</v>
      </c>
      <c r="NY12">
        <v>0</v>
      </c>
      <c r="NZ12">
        <v>0</v>
      </c>
      <c r="OA12">
        <v>160070</v>
      </c>
      <c r="OB12">
        <v>1477962</v>
      </c>
      <c r="OC12">
        <v>0</v>
      </c>
      <c r="OD12">
        <v>414643</v>
      </c>
      <c r="OE12">
        <v>0</v>
      </c>
      <c r="OF12">
        <v>0</v>
      </c>
      <c r="OG12">
        <v>0</v>
      </c>
      <c r="OH12">
        <v>0</v>
      </c>
      <c r="OI12">
        <v>0</v>
      </c>
      <c r="OJ12">
        <v>0</v>
      </c>
      <c r="OK12">
        <v>0</v>
      </c>
      <c r="OL12">
        <v>2615622</v>
      </c>
      <c r="OM12">
        <v>0</v>
      </c>
      <c r="ON12">
        <v>0</v>
      </c>
      <c r="OO12">
        <v>0</v>
      </c>
      <c r="OP12">
        <v>0</v>
      </c>
      <c r="OQ12">
        <v>0</v>
      </c>
      <c r="OR12">
        <v>0</v>
      </c>
      <c r="OS12">
        <v>532683</v>
      </c>
      <c r="OT12">
        <v>2583751</v>
      </c>
      <c r="OU12">
        <v>277401</v>
      </c>
      <c r="OV12">
        <v>370301</v>
      </c>
      <c r="OW12">
        <v>0</v>
      </c>
      <c r="OX12">
        <v>0</v>
      </c>
      <c r="OY12">
        <v>0</v>
      </c>
      <c r="OZ12">
        <v>0</v>
      </c>
      <c r="PA12">
        <v>0</v>
      </c>
      <c r="PB12">
        <v>0</v>
      </c>
      <c r="PC12">
        <v>548691</v>
      </c>
      <c r="PD12">
        <v>0</v>
      </c>
      <c r="PE12">
        <v>52043</v>
      </c>
      <c r="PF12">
        <v>0</v>
      </c>
      <c r="PG12">
        <v>0</v>
      </c>
      <c r="PH12">
        <v>0</v>
      </c>
      <c r="PI12">
        <v>0</v>
      </c>
      <c r="PJ12">
        <v>271011</v>
      </c>
      <c r="PK12">
        <v>0</v>
      </c>
      <c r="PL12">
        <v>0</v>
      </c>
      <c r="PM12">
        <v>0</v>
      </c>
      <c r="PN12">
        <v>0</v>
      </c>
      <c r="PO12">
        <v>0</v>
      </c>
      <c r="PP12">
        <v>0</v>
      </c>
      <c r="PQ12">
        <v>-157046</v>
      </c>
      <c r="PR12">
        <v>0</v>
      </c>
      <c r="PS12">
        <v>0</v>
      </c>
      <c r="PT12">
        <v>749698</v>
      </c>
      <c r="PU12">
        <v>-11572614</v>
      </c>
      <c r="PV12">
        <v>115888</v>
      </c>
      <c r="PW12">
        <v>257261</v>
      </c>
      <c r="PX12">
        <v>0</v>
      </c>
      <c r="PY12">
        <v>785409</v>
      </c>
      <c r="PZ12">
        <v>429342</v>
      </c>
      <c r="QA12">
        <v>0</v>
      </c>
      <c r="QB12">
        <v>0</v>
      </c>
      <c r="QC12">
        <v>0</v>
      </c>
      <c r="QD12">
        <v>0</v>
      </c>
      <c r="QE12">
        <v>0</v>
      </c>
      <c r="QF12">
        <v>0</v>
      </c>
      <c r="QG12">
        <v>0</v>
      </c>
      <c r="QH12">
        <v>0</v>
      </c>
      <c r="QI12">
        <v>0</v>
      </c>
      <c r="QJ12">
        <v>0</v>
      </c>
      <c r="QK12">
        <v>0</v>
      </c>
      <c r="QL12">
        <v>-21011959</v>
      </c>
      <c r="QM12">
        <v>-601285</v>
      </c>
      <c r="QN12">
        <v>0</v>
      </c>
      <c r="QO12">
        <v>0</v>
      </c>
      <c r="QP12">
        <v>0</v>
      </c>
      <c r="QQ12">
        <v>0</v>
      </c>
      <c r="QR12">
        <v>0</v>
      </c>
      <c r="QS12">
        <v>0</v>
      </c>
      <c r="QT12">
        <v>0</v>
      </c>
      <c r="QU12">
        <v>-229985</v>
      </c>
      <c r="QV12">
        <v>2224582</v>
      </c>
      <c r="QW12">
        <v>0</v>
      </c>
      <c r="QX12">
        <v>0</v>
      </c>
      <c r="QY12">
        <v>0</v>
      </c>
      <c r="QZ12">
        <v>2673825</v>
      </c>
      <c r="RA12">
        <v>0</v>
      </c>
      <c r="RB12">
        <v>0</v>
      </c>
      <c r="RC12">
        <v>0</v>
      </c>
      <c r="RD12">
        <v>0</v>
      </c>
      <c r="RE12">
        <v>0</v>
      </c>
      <c r="RF12">
        <v>0</v>
      </c>
      <c r="RG12">
        <v>0</v>
      </c>
      <c r="RH12">
        <v>0</v>
      </c>
      <c r="RI12">
        <v>2000</v>
      </c>
      <c r="RJ12">
        <v>0</v>
      </c>
      <c r="RK12">
        <v>0</v>
      </c>
      <c r="RL12">
        <v>0</v>
      </c>
      <c r="RM12">
        <v>0</v>
      </c>
      <c r="RN12">
        <v>0</v>
      </c>
      <c r="RO12">
        <v>0</v>
      </c>
      <c r="RP12">
        <v>0</v>
      </c>
      <c r="RQ12">
        <v>0</v>
      </c>
      <c r="RR12">
        <v>0</v>
      </c>
      <c r="RS12">
        <v>0</v>
      </c>
      <c r="RT12">
        <v>0</v>
      </c>
      <c r="RU12">
        <v>-18171446</v>
      </c>
      <c r="RV12">
        <v>0</v>
      </c>
      <c r="RW12">
        <v>0</v>
      </c>
      <c r="RX12">
        <v>0</v>
      </c>
      <c r="RY12">
        <v>0</v>
      </c>
      <c r="RZ12">
        <v>0</v>
      </c>
      <c r="SA12">
        <v>0</v>
      </c>
      <c r="SB12">
        <v>0</v>
      </c>
      <c r="SC12">
        <v>0</v>
      </c>
      <c r="SD12">
        <v>56155865</v>
      </c>
      <c r="SE12">
        <v>0</v>
      </c>
      <c r="SF12">
        <v>0</v>
      </c>
      <c r="SG12">
        <v>0</v>
      </c>
      <c r="SH12">
        <v>0</v>
      </c>
      <c r="SI12">
        <v>0</v>
      </c>
      <c r="SJ12">
        <v>0</v>
      </c>
      <c r="SK12">
        <v>0</v>
      </c>
      <c r="SL12">
        <v>0</v>
      </c>
      <c r="SM12">
        <v>0</v>
      </c>
      <c r="SN12">
        <v>0</v>
      </c>
      <c r="SO12">
        <v>0</v>
      </c>
      <c r="SP12">
        <v>0</v>
      </c>
      <c r="SQ12">
        <v>0</v>
      </c>
      <c r="SR12">
        <v>0</v>
      </c>
      <c r="SS12">
        <v>0</v>
      </c>
      <c r="ST12">
        <v>0</v>
      </c>
      <c r="SU12">
        <v>0</v>
      </c>
      <c r="SV12">
        <v>0</v>
      </c>
      <c r="SW12">
        <v>532683</v>
      </c>
      <c r="SX12">
        <v>2583751</v>
      </c>
      <c r="SY12">
        <v>277401</v>
      </c>
      <c r="SZ12">
        <v>521946</v>
      </c>
      <c r="TA12">
        <v>0</v>
      </c>
      <c r="TB12">
        <v>0</v>
      </c>
      <c r="TC12">
        <v>157046</v>
      </c>
      <c r="TD12">
        <v>0</v>
      </c>
      <c r="TE12">
        <v>0</v>
      </c>
      <c r="TF12">
        <v>78650427</v>
      </c>
      <c r="TI12">
        <v>41911522</v>
      </c>
      <c r="TJ12">
        <v>-3760866</v>
      </c>
      <c r="TK12">
        <v>739919</v>
      </c>
      <c r="TL12">
        <v>1612603</v>
      </c>
      <c r="TM12">
        <v>278099</v>
      </c>
      <c r="TN12">
        <v>0</v>
      </c>
      <c r="TO12">
        <v>562793</v>
      </c>
      <c r="TP12">
        <v>0</v>
      </c>
      <c r="TQ12">
        <v>110574</v>
      </c>
      <c r="TR12">
        <v>182747</v>
      </c>
      <c r="TS12">
        <v>0</v>
      </c>
      <c r="TT12">
        <v>277401</v>
      </c>
      <c r="TU12">
        <v>12691</v>
      </c>
      <c r="TV12">
        <v>2009103</v>
      </c>
      <c r="TW12">
        <v>0</v>
      </c>
      <c r="TX12">
        <v>0</v>
      </c>
      <c r="TY12">
        <v>0</v>
      </c>
      <c r="TZ12">
        <v>0</v>
      </c>
      <c r="UA12">
        <v>0</v>
      </c>
      <c r="UB12">
        <v>0</v>
      </c>
      <c r="UC12">
        <v>0</v>
      </c>
      <c r="UD12">
        <v>0</v>
      </c>
      <c r="UE12">
        <v>574902</v>
      </c>
      <c r="UF12">
        <v>0</v>
      </c>
      <c r="UG12">
        <v>0</v>
      </c>
      <c r="UH12">
        <v>0</v>
      </c>
      <c r="UI12">
        <v>0</v>
      </c>
      <c r="UJ12">
        <v>0</v>
      </c>
      <c r="UK12">
        <v>0</v>
      </c>
      <c r="UL12">
        <v>0</v>
      </c>
      <c r="UM12">
        <v>0</v>
      </c>
      <c r="UN12">
        <v>0</v>
      </c>
      <c r="UO12">
        <v>115055491</v>
      </c>
      <c r="UP12">
        <v>69989914</v>
      </c>
      <c r="UQ12">
        <v>11307413</v>
      </c>
      <c r="UR12">
        <v>0</v>
      </c>
      <c r="US12">
        <v>33122409</v>
      </c>
      <c r="UT12">
        <v>5439173</v>
      </c>
      <c r="UU12">
        <v>14423388</v>
      </c>
      <c r="UV12">
        <v>23594253</v>
      </c>
      <c r="UW12">
        <v>2052675</v>
      </c>
      <c r="UX12">
        <v>2615622</v>
      </c>
      <c r="UY12">
        <v>31922759</v>
      </c>
      <c r="UZ12">
        <v>4668422</v>
      </c>
      <c r="VC12" t="s">
        <v>1623</v>
      </c>
      <c r="VD12" t="s">
        <v>1624</v>
      </c>
      <c r="VE12" s="638" t="s">
        <v>1625</v>
      </c>
    </row>
    <row r="13" spans="1:577" ht="46.5" customHeight="1" thickBot="1">
      <c r="A13" s="447">
        <v>460</v>
      </c>
      <c r="B13" s="445" t="s">
        <v>104</v>
      </c>
      <c r="C13" s="446" t="s">
        <v>335</v>
      </c>
      <c r="D13" t="s">
        <v>1421</v>
      </c>
      <c r="E13" s="859">
        <v>130</v>
      </c>
      <c r="F13" s="534">
        <v>1156358523</v>
      </c>
      <c r="G13" s="491" t="s">
        <v>1422</v>
      </c>
      <c r="H13" t="s">
        <v>104</v>
      </c>
      <c r="M13">
        <v>102748866</v>
      </c>
      <c r="N13">
        <v>0</v>
      </c>
      <c r="O13">
        <v>0</v>
      </c>
      <c r="P13">
        <v>0</v>
      </c>
      <c r="Q13">
        <v>0</v>
      </c>
      <c r="R13">
        <v>0</v>
      </c>
      <c r="S13">
        <v>0</v>
      </c>
      <c r="T13">
        <v>0</v>
      </c>
      <c r="U13">
        <v>0</v>
      </c>
      <c r="V13">
        <v>444000</v>
      </c>
      <c r="W13">
        <v>825000</v>
      </c>
      <c r="X13">
        <v>0</v>
      </c>
      <c r="Y13">
        <v>1889527</v>
      </c>
      <c r="Z13">
        <v>0</v>
      </c>
      <c r="AA13">
        <v>0</v>
      </c>
      <c r="AB13">
        <v>0</v>
      </c>
      <c r="AC13">
        <v>0</v>
      </c>
      <c r="AD13">
        <v>0</v>
      </c>
      <c r="AE13">
        <v>0</v>
      </c>
      <c r="AF13">
        <v>0</v>
      </c>
      <c r="AG13">
        <v>0</v>
      </c>
      <c r="AH13">
        <v>0</v>
      </c>
      <c r="AI13">
        <v>0</v>
      </c>
      <c r="AJ13">
        <v>0</v>
      </c>
      <c r="AK13">
        <v>0</v>
      </c>
      <c r="AL13">
        <v>0</v>
      </c>
      <c r="AM13">
        <v>0</v>
      </c>
      <c r="AN13">
        <v>17091856</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-1330007</v>
      </c>
      <c r="BP13">
        <v>-408479</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11558059</v>
      </c>
      <c r="CQ13">
        <v>12305303</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-1043318</v>
      </c>
      <c r="EJ13">
        <v>-1269838</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24382</v>
      </c>
      <c r="GC13">
        <v>8659573</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-423279</v>
      </c>
      <c r="HW13">
        <v>0</v>
      </c>
      <c r="HX13">
        <v>0</v>
      </c>
      <c r="HY13">
        <v>0</v>
      </c>
      <c r="HZ13">
        <v>0</v>
      </c>
      <c r="IA13">
        <v>0</v>
      </c>
      <c r="IB13">
        <v>0</v>
      </c>
      <c r="IC13">
        <v>0</v>
      </c>
      <c r="ID13">
        <v>0</v>
      </c>
      <c r="IE13">
        <v>0</v>
      </c>
      <c r="IF13">
        <v>0</v>
      </c>
      <c r="IG13">
        <v>37000670</v>
      </c>
      <c r="IH13">
        <v>0</v>
      </c>
      <c r="II13">
        <v>0</v>
      </c>
      <c r="IJ13">
        <v>0</v>
      </c>
      <c r="IK13">
        <v>0</v>
      </c>
      <c r="IL13">
        <v>0</v>
      </c>
      <c r="IM13">
        <v>0</v>
      </c>
      <c r="IN13">
        <v>15378723</v>
      </c>
      <c r="IO13">
        <v>0</v>
      </c>
      <c r="IP13">
        <v>0</v>
      </c>
      <c r="IQ13">
        <v>0</v>
      </c>
      <c r="IR13">
        <v>0</v>
      </c>
      <c r="IS13">
        <v>0</v>
      </c>
      <c r="IT13">
        <v>0</v>
      </c>
      <c r="IU13">
        <v>0</v>
      </c>
      <c r="IV13">
        <v>0</v>
      </c>
      <c r="IW13">
        <v>0</v>
      </c>
      <c r="IX13">
        <v>0</v>
      </c>
      <c r="IY13">
        <v>0</v>
      </c>
      <c r="IZ13">
        <v>0</v>
      </c>
      <c r="JA13">
        <v>0</v>
      </c>
      <c r="JB13">
        <v>0</v>
      </c>
      <c r="JC13">
        <v>0</v>
      </c>
      <c r="JD13">
        <v>0</v>
      </c>
      <c r="JE13">
        <v>69444</v>
      </c>
      <c r="JF13">
        <v>4290849</v>
      </c>
      <c r="JG13">
        <v>0</v>
      </c>
      <c r="JH13">
        <v>36969</v>
      </c>
      <c r="JI13">
        <v>23052</v>
      </c>
      <c r="JJ13">
        <v>3624867</v>
      </c>
      <c r="JK13">
        <v>0</v>
      </c>
      <c r="JL13">
        <v>209626</v>
      </c>
      <c r="JM13">
        <v>0</v>
      </c>
      <c r="JN13">
        <v>0</v>
      </c>
      <c r="JO13">
        <v>595823</v>
      </c>
      <c r="JP13">
        <v>0</v>
      </c>
      <c r="JQ13">
        <v>203734</v>
      </c>
      <c r="JR13">
        <v>0</v>
      </c>
      <c r="JS13">
        <v>0</v>
      </c>
      <c r="JT13">
        <v>0</v>
      </c>
      <c r="JU13">
        <v>0</v>
      </c>
      <c r="JV13">
        <v>0</v>
      </c>
      <c r="JW13">
        <v>0</v>
      </c>
      <c r="JX13">
        <v>3068301</v>
      </c>
      <c r="JY13">
        <v>0</v>
      </c>
      <c r="JZ13">
        <v>5917973</v>
      </c>
      <c r="KA13">
        <v>18855</v>
      </c>
      <c r="KB13">
        <v>0</v>
      </c>
      <c r="KC13">
        <v>0</v>
      </c>
      <c r="KD13">
        <v>0</v>
      </c>
      <c r="KE13">
        <v>0</v>
      </c>
      <c r="KF13">
        <v>0</v>
      </c>
      <c r="KG13">
        <v>59842566</v>
      </c>
      <c r="KH13">
        <v>0</v>
      </c>
      <c r="KI13">
        <v>-153249</v>
      </c>
      <c r="KJ13">
        <v>681</v>
      </c>
      <c r="KK13">
        <v>0</v>
      </c>
      <c r="KL13">
        <v>0</v>
      </c>
      <c r="KM13">
        <v>0</v>
      </c>
      <c r="KN13">
        <v>0</v>
      </c>
      <c r="KO13">
        <v>0</v>
      </c>
      <c r="KP13">
        <v>0</v>
      </c>
      <c r="KQ13">
        <v>625243</v>
      </c>
      <c r="KR13">
        <v>0</v>
      </c>
      <c r="KS13">
        <v>0</v>
      </c>
      <c r="KT13">
        <v>0</v>
      </c>
      <c r="KU13">
        <v>0</v>
      </c>
      <c r="KV13">
        <v>0</v>
      </c>
      <c r="KW13">
        <v>0</v>
      </c>
      <c r="KX13">
        <v>0</v>
      </c>
      <c r="KY13">
        <v>829943</v>
      </c>
      <c r="KZ13">
        <v>0</v>
      </c>
      <c r="LA13">
        <v>0</v>
      </c>
      <c r="LB13">
        <v>32898</v>
      </c>
      <c r="LC13">
        <v>0</v>
      </c>
      <c r="LD13">
        <v>0</v>
      </c>
      <c r="LE13">
        <v>0</v>
      </c>
      <c r="LF13">
        <v>-297970</v>
      </c>
      <c r="LG13">
        <v>41990643</v>
      </c>
      <c r="LH13">
        <v>25660938</v>
      </c>
      <c r="LI13">
        <v>0</v>
      </c>
      <c r="LJ13">
        <v>2876571</v>
      </c>
      <c r="LK13">
        <v>7173</v>
      </c>
      <c r="LL13">
        <v>0</v>
      </c>
      <c r="LM13">
        <v>0</v>
      </c>
      <c r="LN13">
        <v>0</v>
      </c>
      <c r="LO13">
        <v>0</v>
      </c>
      <c r="LP13">
        <v>6336810</v>
      </c>
      <c r="LQ13">
        <v>5063320</v>
      </c>
      <c r="LR13">
        <v>0</v>
      </c>
      <c r="LS13">
        <v>24679889</v>
      </c>
      <c r="LT13">
        <v>0</v>
      </c>
      <c r="LU13">
        <v>0</v>
      </c>
      <c r="LV13">
        <v>0</v>
      </c>
      <c r="LW13">
        <v>0</v>
      </c>
      <c r="LX13">
        <v>0</v>
      </c>
      <c r="LY13">
        <v>7438751</v>
      </c>
      <c r="LZ13">
        <v>28182448</v>
      </c>
      <c r="MA13">
        <v>0</v>
      </c>
      <c r="MB13">
        <v>9561739</v>
      </c>
      <c r="MC13">
        <v>0</v>
      </c>
      <c r="MD13">
        <v>0</v>
      </c>
      <c r="ME13">
        <v>0</v>
      </c>
      <c r="MF13">
        <v>0</v>
      </c>
      <c r="MG13">
        <v>0</v>
      </c>
      <c r="MH13">
        <v>0</v>
      </c>
      <c r="MI13">
        <v>0</v>
      </c>
      <c r="MJ13">
        <v>0</v>
      </c>
      <c r="MK13">
        <v>0</v>
      </c>
      <c r="ML13">
        <v>0</v>
      </c>
      <c r="MM13">
        <v>0</v>
      </c>
      <c r="MN13">
        <v>0</v>
      </c>
      <c r="MO13">
        <v>0</v>
      </c>
      <c r="MP13">
        <v>0</v>
      </c>
      <c r="MQ13">
        <v>13712926</v>
      </c>
      <c r="MR13">
        <v>5177972</v>
      </c>
      <c r="MS13">
        <v>0</v>
      </c>
      <c r="MT13">
        <v>309752</v>
      </c>
      <c r="MU13">
        <v>0</v>
      </c>
      <c r="MV13">
        <v>0</v>
      </c>
      <c r="MW13">
        <v>0</v>
      </c>
      <c r="MX13">
        <v>0</v>
      </c>
      <c r="MY13">
        <v>0</v>
      </c>
      <c r="MZ13">
        <v>3121264</v>
      </c>
      <c r="NA13">
        <v>2395053</v>
      </c>
      <c r="NB13">
        <v>0</v>
      </c>
      <c r="NC13">
        <v>600</v>
      </c>
      <c r="ND13">
        <v>0</v>
      </c>
      <c r="NE13">
        <v>0</v>
      </c>
      <c r="NF13">
        <v>0</v>
      </c>
      <c r="NG13">
        <v>0</v>
      </c>
      <c r="NH13">
        <v>0</v>
      </c>
      <c r="NI13">
        <v>12206108</v>
      </c>
      <c r="NJ13">
        <v>5647039</v>
      </c>
      <c r="NK13">
        <v>0</v>
      </c>
      <c r="NL13">
        <v>45897</v>
      </c>
      <c r="NM13">
        <v>0</v>
      </c>
      <c r="NN13">
        <v>56850</v>
      </c>
      <c r="NO13">
        <v>0</v>
      </c>
      <c r="NP13">
        <v>0</v>
      </c>
      <c r="NQ13">
        <v>0</v>
      </c>
      <c r="NR13">
        <v>11259861</v>
      </c>
      <c r="NS13">
        <v>2102590</v>
      </c>
      <c r="NT13">
        <v>0</v>
      </c>
      <c r="NU13">
        <v>-32597</v>
      </c>
      <c r="NV13">
        <v>0</v>
      </c>
      <c r="NW13">
        <v>0</v>
      </c>
      <c r="NX13">
        <v>0</v>
      </c>
      <c r="NY13">
        <v>0</v>
      </c>
      <c r="NZ13">
        <v>45876</v>
      </c>
      <c r="OA13">
        <v>174063</v>
      </c>
      <c r="OB13">
        <v>-36817</v>
      </c>
      <c r="OC13">
        <v>0</v>
      </c>
      <c r="OD13">
        <v>362868</v>
      </c>
      <c r="OE13">
        <v>46393</v>
      </c>
      <c r="OF13">
        <v>0</v>
      </c>
      <c r="OG13">
        <v>0</v>
      </c>
      <c r="OH13">
        <v>0</v>
      </c>
      <c r="OI13">
        <v>0</v>
      </c>
      <c r="OJ13">
        <v>0</v>
      </c>
      <c r="OK13">
        <v>0</v>
      </c>
      <c r="OL13">
        <v>484952</v>
      </c>
      <c r="OM13">
        <v>0</v>
      </c>
      <c r="ON13">
        <v>0</v>
      </c>
      <c r="OO13">
        <v>0</v>
      </c>
      <c r="OP13">
        <v>0</v>
      </c>
      <c r="OQ13">
        <v>0</v>
      </c>
      <c r="OR13">
        <v>0</v>
      </c>
      <c r="OS13">
        <v>5127641</v>
      </c>
      <c r="OT13">
        <v>312818</v>
      </c>
      <c r="OU13">
        <v>413540</v>
      </c>
      <c r="OV13">
        <v>0</v>
      </c>
      <c r="OW13">
        <v>0</v>
      </c>
      <c r="OX13">
        <v>0</v>
      </c>
      <c r="OY13">
        <v>0</v>
      </c>
      <c r="OZ13">
        <v>0</v>
      </c>
      <c r="PA13">
        <v>0</v>
      </c>
      <c r="PB13">
        <v>0</v>
      </c>
      <c r="PC13">
        <v>48846</v>
      </c>
      <c r="PD13">
        <v>0</v>
      </c>
      <c r="PE13">
        <v>52368</v>
      </c>
      <c r="PF13">
        <v>0</v>
      </c>
      <c r="PG13">
        <v>0</v>
      </c>
      <c r="PH13">
        <v>0</v>
      </c>
      <c r="PI13">
        <v>0</v>
      </c>
      <c r="PJ13">
        <v>1182</v>
      </c>
      <c r="PK13">
        <v>0</v>
      </c>
      <c r="PL13">
        <v>0</v>
      </c>
      <c r="PM13">
        <v>0</v>
      </c>
      <c r="PN13">
        <v>0</v>
      </c>
      <c r="PO13">
        <v>0</v>
      </c>
      <c r="PP13">
        <v>0</v>
      </c>
      <c r="PQ13">
        <v>0</v>
      </c>
      <c r="PR13">
        <v>0</v>
      </c>
      <c r="PS13">
        <v>-69392043</v>
      </c>
      <c r="PT13">
        <v>-23753252</v>
      </c>
      <c r="PU13">
        <v>58978522</v>
      </c>
      <c r="PV13">
        <v>0</v>
      </c>
      <c r="PW13">
        <v>3296941</v>
      </c>
      <c r="PX13">
        <v>813667</v>
      </c>
      <c r="PY13">
        <v>-1621237</v>
      </c>
      <c r="PZ13">
        <v>0</v>
      </c>
      <c r="QA13">
        <v>3189149</v>
      </c>
      <c r="QB13">
        <v>76265192</v>
      </c>
      <c r="QC13">
        <v>0</v>
      </c>
      <c r="QD13">
        <v>0</v>
      </c>
      <c r="QE13">
        <v>0</v>
      </c>
      <c r="QF13">
        <v>0</v>
      </c>
      <c r="QG13">
        <v>0</v>
      </c>
      <c r="QH13">
        <v>0</v>
      </c>
      <c r="QI13">
        <v>0</v>
      </c>
      <c r="QJ13">
        <v>0</v>
      </c>
      <c r="QK13">
        <v>0</v>
      </c>
      <c r="QL13">
        <v>0</v>
      </c>
      <c r="QM13">
        <v>0</v>
      </c>
      <c r="QN13">
        <v>0</v>
      </c>
      <c r="QO13">
        <v>0</v>
      </c>
      <c r="QP13">
        <v>0</v>
      </c>
      <c r="QQ13">
        <v>0</v>
      </c>
      <c r="QR13">
        <v>0</v>
      </c>
      <c r="QS13">
        <v>-3093366</v>
      </c>
      <c r="QT13">
        <v>-17284</v>
      </c>
      <c r="QU13">
        <v>0</v>
      </c>
      <c r="QV13">
        <v>1300612</v>
      </c>
      <c r="QW13">
        <v>0</v>
      </c>
      <c r="QX13">
        <v>1085</v>
      </c>
      <c r="QY13">
        <v>0</v>
      </c>
      <c r="QZ13">
        <v>-935233</v>
      </c>
      <c r="RA13">
        <v>0</v>
      </c>
      <c r="RB13">
        <v>0</v>
      </c>
      <c r="RC13">
        <v>0</v>
      </c>
      <c r="RD13">
        <v>0</v>
      </c>
      <c r="RE13">
        <v>0</v>
      </c>
      <c r="RF13">
        <v>0</v>
      </c>
      <c r="RG13">
        <v>0</v>
      </c>
      <c r="RH13">
        <v>0</v>
      </c>
      <c r="RI13">
        <v>4000000</v>
      </c>
      <c r="RJ13">
        <v>0</v>
      </c>
      <c r="RK13">
        <v>0</v>
      </c>
      <c r="RL13">
        <v>0</v>
      </c>
      <c r="RM13">
        <v>0</v>
      </c>
      <c r="RN13">
        <v>0</v>
      </c>
      <c r="RO13">
        <v>0</v>
      </c>
      <c r="RP13">
        <v>0</v>
      </c>
      <c r="RQ13">
        <v>0</v>
      </c>
      <c r="RR13">
        <v>0</v>
      </c>
      <c r="RS13">
        <v>0</v>
      </c>
      <c r="RT13">
        <v>0</v>
      </c>
      <c r="RU13">
        <v>-10707977</v>
      </c>
      <c r="RV13">
        <v>0</v>
      </c>
      <c r="RW13">
        <v>0</v>
      </c>
      <c r="RX13">
        <v>0</v>
      </c>
      <c r="RY13">
        <v>0</v>
      </c>
      <c r="RZ13">
        <v>0</v>
      </c>
      <c r="SA13">
        <v>0</v>
      </c>
      <c r="SB13">
        <v>0</v>
      </c>
      <c r="SC13">
        <v>0</v>
      </c>
      <c r="SD13">
        <v>-759202</v>
      </c>
      <c r="SE13">
        <v>0</v>
      </c>
      <c r="SF13">
        <v>0</v>
      </c>
      <c r="SG13">
        <v>0</v>
      </c>
      <c r="SH13">
        <v>0</v>
      </c>
      <c r="SI13">
        <v>0</v>
      </c>
      <c r="SJ13">
        <v>0</v>
      </c>
      <c r="SK13">
        <v>0</v>
      </c>
      <c r="SL13">
        <v>0</v>
      </c>
      <c r="SM13">
        <v>0</v>
      </c>
      <c r="SN13">
        <v>0</v>
      </c>
      <c r="SO13">
        <v>0</v>
      </c>
      <c r="SP13">
        <v>0</v>
      </c>
      <c r="SQ13">
        <v>70000</v>
      </c>
      <c r="SR13">
        <v>0</v>
      </c>
      <c r="SS13">
        <v>0</v>
      </c>
      <c r="ST13">
        <v>0</v>
      </c>
      <c r="SU13">
        <v>0</v>
      </c>
      <c r="SV13">
        <v>57567</v>
      </c>
      <c r="SW13">
        <v>0</v>
      </c>
      <c r="SX13">
        <v>0</v>
      </c>
      <c r="SY13">
        <v>0</v>
      </c>
      <c r="SZ13">
        <v>0</v>
      </c>
      <c r="TA13">
        <v>0</v>
      </c>
      <c r="TB13">
        <v>0</v>
      </c>
      <c r="TC13">
        <v>0</v>
      </c>
      <c r="TD13">
        <v>0</v>
      </c>
      <c r="TE13">
        <v>75246042</v>
      </c>
      <c r="TF13">
        <v>182232985</v>
      </c>
      <c r="TI13">
        <v>32547317</v>
      </c>
      <c r="TJ13">
        <v>-2736435</v>
      </c>
      <c r="TK13">
        <v>354267</v>
      </c>
      <c r="TL13">
        <v>2122890</v>
      </c>
      <c r="TM13">
        <v>843807</v>
      </c>
      <c r="TN13">
        <v>0</v>
      </c>
      <c r="TO13">
        <v>1068880</v>
      </c>
      <c r="TP13">
        <v>0</v>
      </c>
      <c r="TQ13">
        <v>279153</v>
      </c>
      <c r="TR13">
        <v>1185002</v>
      </c>
      <c r="TS13">
        <v>0</v>
      </c>
      <c r="TT13">
        <v>0</v>
      </c>
      <c r="TU13">
        <v>0</v>
      </c>
      <c r="TV13">
        <v>1002142</v>
      </c>
      <c r="TW13">
        <v>0</v>
      </c>
      <c r="TX13">
        <v>0</v>
      </c>
      <c r="TY13">
        <v>0</v>
      </c>
      <c r="TZ13">
        <v>0</v>
      </c>
      <c r="UA13">
        <v>0</v>
      </c>
      <c r="UB13">
        <v>0</v>
      </c>
      <c r="UC13">
        <v>0</v>
      </c>
      <c r="UD13">
        <v>0</v>
      </c>
      <c r="UE13">
        <v>87745</v>
      </c>
      <c r="UF13">
        <v>0</v>
      </c>
      <c r="UG13">
        <v>0</v>
      </c>
      <c r="UH13">
        <v>0</v>
      </c>
      <c r="UI13">
        <v>0</v>
      </c>
      <c r="UJ13">
        <v>0</v>
      </c>
      <c r="UK13">
        <v>0</v>
      </c>
      <c r="UL13">
        <v>0</v>
      </c>
      <c r="UM13">
        <v>0</v>
      </c>
      <c r="UN13">
        <v>0</v>
      </c>
      <c r="UO13">
        <v>70535325</v>
      </c>
      <c r="UP13">
        <v>36080019</v>
      </c>
      <c r="UQ13">
        <v>45182938</v>
      </c>
      <c r="UR13">
        <v>0</v>
      </c>
      <c r="US13">
        <v>19200650</v>
      </c>
      <c r="UT13">
        <v>5516917</v>
      </c>
      <c r="UU13">
        <v>17955894</v>
      </c>
      <c r="UV13">
        <v>13375730</v>
      </c>
      <c r="UW13">
        <v>546507</v>
      </c>
      <c r="UX13">
        <v>484952</v>
      </c>
      <c r="UY13">
        <v>117960091</v>
      </c>
      <c r="UZ13">
        <v>366464</v>
      </c>
      <c r="VC13" t="s">
        <v>1614</v>
      </c>
      <c r="VD13" s="50" t="s">
        <v>1615</v>
      </c>
      <c r="VE13" s="638" t="s">
        <v>1616</v>
      </c>
    </row>
    <row r="14" spans="1:577" ht="33.75" customHeight="1" thickBot="1">
      <c r="A14" s="447">
        <v>470</v>
      </c>
      <c r="B14" s="445" t="s">
        <v>106</v>
      </c>
      <c r="C14" s="446" t="s">
        <v>336</v>
      </c>
      <c r="D14" t="s">
        <v>1421</v>
      </c>
      <c r="E14" s="859">
        <v>412</v>
      </c>
      <c r="F14" s="534">
        <v>2240607123</v>
      </c>
      <c r="G14" s="491" t="s">
        <v>1422</v>
      </c>
      <c r="H14" t="s">
        <v>106</v>
      </c>
      <c r="M14">
        <v>154380009</v>
      </c>
      <c r="N14">
        <v>0</v>
      </c>
      <c r="O14">
        <v>0</v>
      </c>
      <c r="P14">
        <v>12127258</v>
      </c>
      <c r="Q14">
        <v>0</v>
      </c>
      <c r="R14">
        <v>0</v>
      </c>
      <c r="S14">
        <v>0</v>
      </c>
      <c r="T14">
        <v>0</v>
      </c>
      <c r="U14">
        <v>0</v>
      </c>
      <c r="V14">
        <v>5069124</v>
      </c>
      <c r="W14">
        <v>82852</v>
      </c>
      <c r="X14">
        <v>0</v>
      </c>
      <c r="Y14">
        <v>6588365</v>
      </c>
      <c r="Z14">
        <v>0</v>
      </c>
      <c r="AA14">
        <v>0</v>
      </c>
      <c r="AB14">
        <v>0</v>
      </c>
      <c r="AC14">
        <v>0</v>
      </c>
      <c r="AD14">
        <v>0</v>
      </c>
      <c r="AE14">
        <v>0</v>
      </c>
      <c r="AF14">
        <v>0</v>
      </c>
      <c r="AG14">
        <v>0</v>
      </c>
      <c r="AH14">
        <v>0</v>
      </c>
      <c r="AI14">
        <v>0</v>
      </c>
      <c r="AJ14">
        <v>0</v>
      </c>
      <c r="AK14">
        <v>0</v>
      </c>
      <c r="AL14">
        <v>0</v>
      </c>
      <c r="AM14">
        <v>0</v>
      </c>
      <c r="AN14">
        <v>23372396</v>
      </c>
      <c r="AO14">
        <v>0</v>
      </c>
      <c r="AP14">
        <v>0</v>
      </c>
      <c r="AQ14">
        <v>0</v>
      </c>
      <c r="AR14">
        <v>0</v>
      </c>
      <c r="AS14">
        <v>0</v>
      </c>
      <c r="AT14">
        <v>0</v>
      </c>
      <c r="AU14">
        <v>0</v>
      </c>
      <c r="AV14">
        <v>0</v>
      </c>
      <c r="AW14">
        <v>0</v>
      </c>
      <c r="AX14">
        <v>0</v>
      </c>
      <c r="AY14">
        <v>0</v>
      </c>
      <c r="AZ14">
        <v>0</v>
      </c>
      <c r="BA14">
        <v>0</v>
      </c>
      <c r="BB14">
        <v>0</v>
      </c>
      <c r="BC14">
        <v>0</v>
      </c>
      <c r="BD14">
        <v>0</v>
      </c>
      <c r="BE14">
        <v>0</v>
      </c>
      <c r="BF14">
        <v>-3137114</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17319354</v>
      </c>
      <c r="CQ14">
        <v>27794027</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-413470</v>
      </c>
      <c r="DR14">
        <v>-1057767</v>
      </c>
      <c r="DS14">
        <v>0</v>
      </c>
      <c r="DT14">
        <v>0</v>
      </c>
      <c r="DU14">
        <v>0</v>
      </c>
      <c r="DV14">
        <v>0</v>
      </c>
      <c r="DW14">
        <v>0</v>
      </c>
      <c r="DX14">
        <v>0</v>
      </c>
      <c r="DY14">
        <v>0</v>
      </c>
      <c r="DZ14">
        <v>0</v>
      </c>
      <c r="EA14">
        <v>0</v>
      </c>
      <c r="EB14">
        <v>0</v>
      </c>
      <c r="EC14">
        <v>0</v>
      </c>
      <c r="ED14">
        <v>0</v>
      </c>
      <c r="EE14">
        <v>0</v>
      </c>
      <c r="EF14">
        <v>0</v>
      </c>
      <c r="EG14">
        <v>0</v>
      </c>
      <c r="EH14">
        <v>0</v>
      </c>
      <c r="EI14">
        <v>-1416951</v>
      </c>
      <c r="EJ14">
        <v>-3445126</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14189019</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-978275</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1285018</v>
      </c>
      <c r="IF14">
        <v>0</v>
      </c>
      <c r="IG14">
        <v>18303977</v>
      </c>
      <c r="IH14">
        <v>10401</v>
      </c>
      <c r="II14">
        <v>0</v>
      </c>
      <c r="IJ14">
        <v>0</v>
      </c>
      <c r="IK14">
        <v>0</v>
      </c>
      <c r="IL14">
        <v>0</v>
      </c>
      <c r="IM14">
        <v>0</v>
      </c>
      <c r="IN14">
        <v>114908206</v>
      </c>
      <c r="IO14">
        <v>0</v>
      </c>
      <c r="IP14">
        <v>106629573</v>
      </c>
      <c r="IQ14">
        <v>0</v>
      </c>
      <c r="IR14">
        <v>0</v>
      </c>
      <c r="IS14">
        <v>0</v>
      </c>
      <c r="IT14">
        <v>0</v>
      </c>
      <c r="IU14">
        <v>0</v>
      </c>
      <c r="IV14">
        <v>0</v>
      </c>
      <c r="IW14">
        <v>0</v>
      </c>
      <c r="IX14">
        <v>0</v>
      </c>
      <c r="IY14">
        <v>0</v>
      </c>
      <c r="IZ14">
        <v>0</v>
      </c>
      <c r="JA14">
        <v>0</v>
      </c>
      <c r="JB14">
        <v>0</v>
      </c>
      <c r="JC14">
        <v>0</v>
      </c>
      <c r="JD14">
        <v>0</v>
      </c>
      <c r="JE14">
        <v>499976</v>
      </c>
      <c r="JF14">
        <v>7521288</v>
      </c>
      <c r="JG14">
        <v>38908</v>
      </c>
      <c r="JH14">
        <v>5041200</v>
      </c>
      <c r="JI14">
        <v>74432</v>
      </c>
      <c r="JJ14">
        <v>-1231889</v>
      </c>
      <c r="JK14">
        <v>745259</v>
      </c>
      <c r="JL14">
        <v>0</v>
      </c>
      <c r="JM14">
        <v>0</v>
      </c>
      <c r="JN14">
        <v>0</v>
      </c>
      <c r="JO14">
        <v>27850309</v>
      </c>
      <c r="JP14">
        <v>0</v>
      </c>
      <c r="JQ14">
        <v>31077251</v>
      </c>
      <c r="JR14">
        <v>0</v>
      </c>
      <c r="JS14">
        <v>0</v>
      </c>
      <c r="JT14">
        <v>0</v>
      </c>
      <c r="JU14">
        <v>0</v>
      </c>
      <c r="JV14">
        <v>0</v>
      </c>
      <c r="JW14">
        <v>12000</v>
      </c>
      <c r="JX14">
        <v>41889115</v>
      </c>
      <c r="JY14">
        <v>0</v>
      </c>
      <c r="JZ14">
        <v>45698641</v>
      </c>
      <c r="KA14">
        <v>0</v>
      </c>
      <c r="KB14">
        <v>0</v>
      </c>
      <c r="KC14">
        <v>500</v>
      </c>
      <c r="KD14">
        <v>0</v>
      </c>
      <c r="KE14">
        <v>0</v>
      </c>
      <c r="KF14">
        <v>0</v>
      </c>
      <c r="KG14">
        <v>10354743</v>
      </c>
      <c r="KH14">
        <v>0</v>
      </c>
      <c r="KI14">
        <v>729555</v>
      </c>
      <c r="KJ14">
        <v>0</v>
      </c>
      <c r="KK14">
        <v>0</v>
      </c>
      <c r="KL14">
        <v>0</v>
      </c>
      <c r="KM14">
        <v>0</v>
      </c>
      <c r="KN14">
        <v>0</v>
      </c>
      <c r="KO14">
        <v>0</v>
      </c>
      <c r="KP14">
        <v>0</v>
      </c>
      <c r="KQ14">
        <v>828063</v>
      </c>
      <c r="KR14">
        <v>0</v>
      </c>
      <c r="KS14">
        <v>0</v>
      </c>
      <c r="KT14">
        <v>0</v>
      </c>
      <c r="KU14">
        <v>0</v>
      </c>
      <c r="KV14">
        <v>0</v>
      </c>
      <c r="KW14">
        <v>0</v>
      </c>
      <c r="KX14">
        <v>39</v>
      </c>
      <c r="KY14">
        <v>22927833</v>
      </c>
      <c r="KZ14">
        <v>0</v>
      </c>
      <c r="LA14">
        <v>1524</v>
      </c>
      <c r="LB14">
        <v>-84316</v>
      </c>
      <c r="LC14">
        <v>0</v>
      </c>
      <c r="LD14">
        <v>-165</v>
      </c>
      <c r="LE14">
        <v>0</v>
      </c>
      <c r="LF14">
        <v>0</v>
      </c>
      <c r="LG14">
        <v>71592577</v>
      </c>
      <c r="LH14">
        <v>74493007</v>
      </c>
      <c r="LI14">
        <v>0</v>
      </c>
      <c r="LJ14">
        <v>56057294</v>
      </c>
      <c r="LK14">
        <v>0</v>
      </c>
      <c r="LL14">
        <v>0</v>
      </c>
      <c r="LM14">
        <v>0</v>
      </c>
      <c r="LN14">
        <v>0</v>
      </c>
      <c r="LO14">
        <v>0</v>
      </c>
      <c r="LP14">
        <v>10859143</v>
      </c>
      <c r="LQ14">
        <v>10376350</v>
      </c>
      <c r="LR14">
        <v>0</v>
      </c>
      <c r="LS14">
        <v>12701161</v>
      </c>
      <c r="LT14">
        <v>0</v>
      </c>
      <c r="LU14">
        <v>0</v>
      </c>
      <c r="LV14">
        <v>514</v>
      </c>
      <c r="LW14">
        <v>0</v>
      </c>
      <c r="LX14">
        <v>0</v>
      </c>
      <c r="LY14">
        <v>4409679</v>
      </c>
      <c r="LZ14">
        <v>2726864</v>
      </c>
      <c r="MA14">
        <v>0</v>
      </c>
      <c r="MB14">
        <v>124880453</v>
      </c>
      <c r="MC14">
        <v>0</v>
      </c>
      <c r="MD14">
        <v>0</v>
      </c>
      <c r="ME14">
        <v>28675</v>
      </c>
      <c r="MF14">
        <v>0</v>
      </c>
      <c r="MG14">
        <v>0</v>
      </c>
      <c r="MH14">
        <v>1243940</v>
      </c>
      <c r="MI14">
        <v>65804291</v>
      </c>
      <c r="MJ14">
        <v>0</v>
      </c>
      <c r="MK14">
        <v>11260066</v>
      </c>
      <c r="ML14">
        <v>0</v>
      </c>
      <c r="MM14">
        <v>0</v>
      </c>
      <c r="MN14">
        <v>0</v>
      </c>
      <c r="MO14">
        <v>0</v>
      </c>
      <c r="MP14">
        <v>0</v>
      </c>
      <c r="MQ14">
        <v>44987957</v>
      </c>
      <c r="MR14">
        <v>66943437</v>
      </c>
      <c r="MS14">
        <v>0</v>
      </c>
      <c r="MT14">
        <v>3231524</v>
      </c>
      <c r="MU14">
        <v>0</v>
      </c>
      <c r="MV14">
        <v>0</v>
      </c>
      <c r="MW14">
        <v>3650524</v>
      </c>
      <c r="MX14">
        <v>0</v>
      </c>
      <c r="MY14">
        <v>0</v>
      </c>
      <c r="MZ14">
        <v>1619340</v>
      </c>
      <c r="NA14">
        <v>13413782</v>
      </c>
      <c r="NB14">
        <v>0</v>
      </c>
      <c r="NC14">
        <v>3633</v>
      </c>
      <c r="ND14">
        <v>145080</v>
      </c>
      <c r="NE14">
        <v>0</v>
      </c>
      <c r="NF14">
        <v>0</v>
      </c>
      <c r="NG14">
        <v>0</v>
      </c>
      <c r="NH14">
        <v>0</v>
      </c>
      <c r="NI14">
        <v>20499540</v>
      </c>
      <c r="NJ14">
        <v>6612343</v>
      </c>
      <c r="NK14">
        <v>0</v>
      </c>
      <c r="NL14">
        <v>1925827</v>
      </c>
      <c r="NM14">
        <v>0</v>
      </c>
      <c r="NN14">
        <v>0</v>
      </c>
      <c r="NO14">
        <v>335083</v>
      </c>
      <c r="NP14">
        <v>0</v>
      </c>
      <c r="NQ14">
        <v>0</v>
      </c>
      <c r="NR14">
        <v>10653541</v>
      </c>
      <c r="NS14">
        <v>10437098</v>
      </c>
      <c r="NT14">
        <v>0</v>
      </c>
      <c r="NU14">
        <v>204892</v>
      </c>
      <c r="NV14">
        <v>0</v>
      </c>
      <c r="NW14">
        <v>0</v>
      </c>
      <c r="NX14">
        <v>5799546</v>
      </c>
      <c r="NY14">
        <v>0</v>
      </c>
      <c r="NZ14">
        <v>0</v>
      </c>
      <c r="OA14">
        <v>0</v>
      </c>
      <c r="OB14">
        <v>985906</v>
      </c>
      <c r="OC14">
        <v>0</v>
      </c>
      <c r="OD14">
        <v>2323079</v>
      </c>
      <c r="OE14">
        <v>0</v>
      </c>
      <c r="OF14">
        <v>0</v>
      </c>
      <c r="OG14">
        <v>0</v>
      </c>
      <c r="OH14">
        <v>0</v>
      </c>
      <c r="OI14">
        <v>0</v>
      </c>
      <c r="OJ14">
        <v>0</v>
      </c>
      <c r="OK14">
        <v>0</v>
      </c>
      <c r="OL14">
        <v>456145</v>
      </c>
      <c r="OM14">
        <v>0</v>
      </c>
      <c r="ON14">
        <v>0</v>
      </c>
      <c r="OO14">
        <v>0</v>
      </c>
      <c r="OP14">
        <v>0</v>
      </c>
      <c r="OQ14">
        <v>0</v>
      </c>
      <c r="OR14">
        <v>0</v>
      </c>
      <c r="OS14">
        <v>1337272</v>
      </c>
      <c r="OT14">
        <v>2126524</v>
      </c>
      <c r="OU14">
        <v>0</v>
      </c>
      <c r="OV14">
        <v>587186</v>
      </c>
      <c r="OW14">
        <v>0</v>
      </c>
      <c r="OX14">
        <v>0</v>
      </c>
      <c r="OY14">
        <v>0</v>
      </c>
      <c r="OZ14">
        <v>0</v>
      </c>
      <c r="PA14">
        <v>0</v>
      </c>
      <c r="PB14">
        <v>-47154</v>
      </c>
      <c r="PC14">
        <v>0</v>
      </c>
      <c r="PD14">
        <v>0</v>
      </c>
      <c r="PE14">
        <v>0</v>
      </c>
      <c r="PF14">
        <v>0</v>
      </c>
      <c r="PG14">
        <v>0</v>
      </c>
      <c r="PH14">
        <v>0</v>
      </c>
      <c r="PI14">
        <v>0</v>
      </c>
      <c r="PJ14">
        <v>536031</v>
      </c>
      <c r="PK14">
        <v>0</v>
      </c>
      <c r="PL14">
        <v>0</v>
      </c>
      <c r="PM14">
        <v>0</v>
      </c>
      <c r="PN14">
        <v>0</v>
      </c>
      <c r="PO14">
        <v>0</v>
      </c>
      <c r="PP14">
        <v>0</v>
      </c>
      <c r="PQ14">
        <v>-56086071</v>
      </c>
      <c r="PR14">
        <v>0</v>
      </c>
      <c r="PS14">
        <v>0</v>
      </c>
      <c r="PT14">
        <v>-23229094</v>
      </c>
      <c r="PU14">
        <v>5600149</v>
      </c>
      <c r="PV14">
        <v>-10000</v>
      </c>
      <c r="PW14">
        <v>-4298757</v>
      </c>
      <c r="PX14">
        <v>-20588</v>
      </c>
      <c r="PY14">
        <v>55193</v>
      </c>
      <c r="PZ14">
        <v>22536665</v>
      </c>
      <c r="QA14">
        <v>0</v>
      </c>
      <c r="QB14">
        <v>0</v>
      </c>
      <c r="QC14">
        <v>0</v>
      </c>
      <c r="QD14">
        <v>0</v>
      </c>
      <c r="QE14">
        <v>0</v>
      </c>
      <c r="QF14">
        <v>0</v>
      </c>
      <c r="QG14">
        <v>0</v>
      </c>
      <c r="QH14">
        <v>0</v>
      </c>
      <c r="QI14">
        <v>37138691</v>
      </c>
      <c r="QJ14">
        <v>0</v>
      </c>
      <c r="QK14">
        <v>0</v>
      </c>
      <c r="QL14">
        <v>-13989425</v>
      </c>
      <c r="QM14">
        <v>0</v>
      </c>
      <c r="QN14">
        <v>0</v>
      </c>
      <c r="QO14">
        <v>0</v>
      </c>
      <c r="QP14">
        <v>0</v>
      </c>
      <c r="QQ14">
        <v>0</v>
      </c>
      <c r="QR14">
        <v>0</v>
      </c>
      <c r="QS14">
        <v>0</v>
      </c>
      <c r="QT14">
        <v>0</v>
      </c>
      <c r="QU14">
        <v>0</v>
      </c>
      <c r="QV14">
        <v>-706841</v>
      </c>
      <c r="QW14">
        <v>0</v>
      </c>
      <c r="QX14">
        <v>-285357</v>
      </c>
      <c r="QY14">
        <v>0</v>
      </c>
      <c r="QZ14">
        <v>4000678</v>
      </c>
      <c r="RA14">
        <v>0</v>
      </c>
      <c r="RB14">
        <v>0</v>
      </c>
      <c r="RC14">
        <v>0</v>
      </c>
      <c r="RD14">
        <v>0</v>
      </c>
      <c r="RE14">
        <v>0</v>
      </c>
      <c r="RF14">
        <v>0</v>
      </c>
      <c r="RG14">
        <v>0</v>
      </c>
      <c r="RH14">
        <v>0</v>
      </c>
      <c r="RI14">
        <v>1968342</v>
      </c>
      <c r="RJ14">
        <v>0</v>
      </c>
      <c r="RK14">
        <v>0</v>
      </c>
      <c r="RL14">
        <v>0</v>
      </c>
      <c r="RM14">
        <v>0</v>
      </c>
      <c r="RN14">
        <v>0</v>
      </c>
      <c r="RO14">
        <v>0</v>
      </c>
      <c r="RP14">
        <v>0</v>
      </c>
      <c r="RQ14">
        <v>0</v>
      </c>
      <c r="RR14">
        <v>0</v>
      </c>
      <c r="RS14">
        <v>0</v>
      </c>
      <c r="RT14">
        <v>0</v>
      </c>
      <c r="RU14">
        <v>-20787805</v>
      </c>
      <c r="RV14">
        <v>0</v>
      </c>
      <c r="RW14">
        <v>0</v>
      </c>
      <c r="RX14">
        <v>0</v>
      </c>
      <c r="RY14">
        <v>0</v>
      </c>
      <c r="RZ14">
        <v>0</v>
      </c>
      <c r="SA14">
        <v>0</v>
      </c>
      <c r="SB14">
        <v>0</v>
      </c>
      <c r="SC14">
        <v>0</v>
      </c>
      <c r="SD14">
        <v>-573387</v>
      </c>
      <c r="SE14">
        <v>0</v>
      </c>
      <c r="SF14">
        <v>0</v>
      </c>
      <c r="SG14">
        <v>0</v>
      </c>
      <c r="SH14">
        <v>0</v>
      </c>
      <c r="SI14">
        <v>0</v>
      </c>
      <c r="SJ14">
        <v>0</v>
      </c>
      <c r="SK14">
        <v>0</v>
      </c>
      <c r="SL14">
        <v>0</v>
      </c>
      <c r="SM14">
        <v>0</v>
      </c>
      <c r="SN14">
        <v>0</v>
      </c>
      <c r="SO14">
        <v>0</v>
      </c>
      <c r="SP14">
        <v>0</v>
      </c>
      <c r="SQ14">
        <v>0</v>
      </c>
      <c r="SR14">
        <v>0</v>
      </c>
      <c r="SS14">
        <v>0</v>
      </c>
      <c r="ST14">
        <v>0</v>
      </c>
      <c r="SU14">
        <v>0</v>
      </c>
      <c r="SV14">
        <v>12723771</v>
      </c>
      <c r="SW14">
        <v>1337272</v>
      </c>
      <c r="SX14">
        <v>2126524</v>
      </c>
      <c r="SY14">
        <v>0</v>
      </c>
      <c r="SZ14">
        <v>587186</v>
      </c>
      <c r="TA14">
        <v>0</v>
      </c>
      <c r="TB14">
        <v>0</v>
      </c>
      <c r="TC14">
        <v>56086071</v>
      </c>
      <c r="TD14">
        <v>0</v>
      </c>
      <c r="TE14">
        <v>0</v>
      </c>
      <c r="TF14">
        <v>67693323</v>
      </c>
      <c r="TI14">
        <v>59302400</v>
      </c>
      <c r="TJ14">
        <v>-7311589</v>
      </c>
      <c r="TK14">
        <v>147422</v>
      </c>
      <c r="TL14">
        <v>1139473</v>
      </c>
      <c r="TM14">
        <v>292522</v>
      </c>
      <c r="TN14">
        <v>96208</v>
      </c>
      <c r="TO14">
        <v>950339</v>
      </c>
      <c r="TP14">
        <v>72394</v>
      </c>
      <c r="TQ14">
        <v>773876</v>
      </c>
      <c r="TR14">
        <v>578748</v>
      </c>
      <c r="TS14">
        <v>0</v>
      </c>
      <c r="TT14">
        <v>0</v>
      </c>
      <c r="TU14">
        <v>23927</v>
      </c>
      <c r="TV14">
        <v>83348</v>
      </c>
      <c r="TW14">
        <v>266581</v>
      </c>
      <c r="TX14">
        <v>0</v>
      </c>
      <c r="TY14">
        <v>0</v>
      </c>
      <c r="TZ14">
        <v>0</v>
      </c>
      <c r="UA14">
        <v>0</v>
      </c>
      <c r="UB14">
        <v>0</v>
      </c>
      <c r="UC14">
        <v>0</v>
      </c>
      <c r="UD14">
        <v>0</v>
      </c>
      <c r="UE14">
        <v>8949</v>
      </c>
      <c r="UF14">
        <v>11068</v>
      </c>
      <c r="UG14">
        <v>0</v>
      </c>
      <c r="UH14">
        <v>0</v>
      </c>
      <c r="UI14">
        <v>0</v>
      </c>
      <c r="UJ14">
        <v>0</v>
      </c>
      <c r="UK14">
        <v>0</v>
      </c>
      <c r="UL14">
        <v>0</v>
      </c>
      <c r="UM14">
        <v>106629573</v>
      </c>
      <c r="UN14">
        <v>0</v>
      </c>
      <c r="UO14">
        <v>202142878</v>
      </c>
      <c r="UP14">
        <v>33937168</v>
      </c>
      <c r="UQ14">
        <v>132045671</v>
      </c>
      <c r="UR14">
        <v>78308297</v>
      </c>
      <c r="US14">
        <v>118813442</v>
      </c>
      <c r="UT14">
        <v>15181835</v>
      </c>
      <c r="UU14">
        <v>29372793</v>
      </c>
      <c r="UV14">
        <v>27095077</v>
      </c>
      <c r="UW14">
        <v>3308985</v>
      </c>
      <c r="UX14">
        <v>456145</v>
      </c>
      <c r="UY14">
        <v>11216869</v>
      </c>
      <c r="UZ14">
        <v>3008480</v>
      </c>
      <c r="VC14" s="596" t="s">
        <v>1593</v>
      </c>
      <c r="VD14" s="50" t="s">
        <v>1594</v>
      </c>
      <c r="VE14" s="638" t="s">
        <v>1595</v>
      </c>
    </row>
    <row r="15" spans="1:577" ht="45.75" thickBot="1">
      <c r="A15" s="447">
        <v>480</v>
      </c>
      <c r="B15" s="445" t="s">
        <v>1230</v>
      </c>
      <c r="C15" s="446" t="s">
        <v>1204</v>
      </c>
      <c r="D15" s="491" t="s">
        <v>1421</v>
      </c>
      <c r="E15" s="859">
        <v>862</v>
      </c>
      <c r="F15" s="534">
        <v>788658733</v>
      </c>
      <c r="G15" s="491" t="s">
        <v>1422</v>
      </c>
      <c r="H15" t="s">
        <v>1230</v>
      </c>
      <c r="M15">
        <v>75659465</v>
      </c>
      <c r="N15">
        <v>0</v>
      </c>
      <c r="O15">
        <v>0</v>
      </c>
      <c r="P15">
        <v>0</v>
      </c>
      <c r="Q15">
        <v>0</v>
      </c>
      <c r="R15">
        <v>0</v>
      </c>
      <c r="S15">
        <v>0</v>
      </c>
      <c r="T15">
        <v>0</v>
      </c>
      <c r="U15">
        <v>0</v>
      </c>
      <c r="V15">
        <v>1795322</v>
      </c>
      <c r="W15">
        <v>302120</v>
      </c>
      <c r="X15">
        <v>0</v>
      </c>
      <c r="Y15">
        <v>4017392</v>
      </c>
      <c r="Z15">
        <v>0</v>
      </c>
      <c r="AA15">
        <v>0</v>
      </c>
      <c r="AB15">
        <v>0</v>
      </c>
      <c r="AC15">
        <v>0</v>
      </c>
      <c r="AD15">
        <v>0</v>
      </c>
      <c r="AE15">
        <v>0</v>
      </c>
      <c r="AF15">
        <v>0</v>
      </c>
      <c r="AG15">
        <v>0</v>
      </c>
      <c r="AH15">
        <v>0</v>
      </c>
      <c r="AI15">
        <v>0</v>
      </c>
      <c r="AJ15">
        <v>0</v>
      </c>
      <c r="AK15">
        <v>0</v>
      </c>
      <c r="AL15">
        <v>0</v>
      </c>
      <c r="AM15">
        <v>0</v>
      </c>
      <c r="AN15">
        <v>6234075</v>
      </c>
      <c r="AO15">
        <v>0</v>
      </c>
      <c r="AP15">
        <v>0</v>
      </c>
      <c r="AQ15">
        <v>0</v>
      </c>
      <c r="AR15">
        <v>0</v>
      </c>
      <c r="AS15">
        <v>0</v>
      </c>
      <c r="AT15">
        <v>0</v>
      </c>
      <c r="AU15">
        <v>0</v>
      </c>
      <c r="AV15">
        <v>0</v>
      </c>
      <c r="AW15">
        <v>0</v>
      </c>
      <c r="AX15">
        <v>0</v>
      </c>
      <c r="AY15">
        <v>0</v>
      </c>
      <c r="AZ15">
        <v>0</v>
      </c>
      <c r="BA15">
        <v>0</v>
      </c>
      <c r="BB15">
        <v>0</v>
      </c>
      <c r="BC15">
        <v>0</v>
      </c>
      <c r="BD15">
        <v>0</v>
      </c>
      <c r="BE15">
        <v>0</v>
      </c>
      <c r="BF15">
        <v>-251045</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3147553</v>
      </c>
      <c r="CQ15">
        <v>5051171</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-67400</v>
      </c>
      <c r="DR15">
        <v>-120488</v>
      </c>
      <c r="DS15">
        <v>0</v>
      </c>
      <c r="DT15">
        <v>0</v>
      </c>
      <c r="DU15">
        <v>0</v>
      </c>
      <c r="DV15">
        <v>0</v>
      </c>
      <c r="DW15">
        <v>0</v>
      </c>
      <c r="DX15">
        <v>0</v>
      </c>
      <c r="DY15">
        <v>0</v>
      </c>
      <c r="DZ15">
        <v>0</v>
      </c>
      <c r="EA15">
        <v>0</v>
      </c>
      <c r="EB15">
        <v>0</v>
      </c>
      <c r="EC15">
        <v>0</v>
      </c>
      <c r="ED15">
        <v>0</v>
      </c>
      <c r="EE15">
        <v>0</v>
      </c>
      <c r="EF15">
        <v>0</v>
      </c>
      <c r="EG15">
        <v>0</v>
      </c>
      <c r="EH15">
        <v>0</v>
      </c>
      <c r="EI15">
        <v>-406505</v>
      </c>
      <c r="EJ15">
        <v>-1030415</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2611631</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-193977</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913044</v>
      </c>
      <c r="IF15">
        <v>0</v>
      </c>
      <c r="IG15">
        <v>2871495</v>
      </c>
      <c r="IH15">
        <v>0</v>
      </c>
      <c r="II15">
        <v>0</v>
      </c>
      <c r="IJ15">
        <v>0</v>
      </c>
      <c r="IK15">
        <v>0</v>
      </c>
      <c r="IL15">
        <v>0</v>
      </c>
      <c r="IM15">
        <v>0</v>
      </c>
      <c r="IN15">
        <v>51823292</v>
      </c>
      <c r="IO15">
        <v>0</v>
      </c>
      <c r="IP15">
        <v>0</v>
      </c>
      <c r="IQ15">
        <v>0</v>
      </c>
      <c r="IR15">
        <v>0</v>
      </c>
      <c r="IS15">
        <v>0</v>
      </c>
      <c r="IT15">
        <v>0</v>
      </c>
      <c r="IU15">
        <v>0</v>
      </c>
      <c r="IV15">
        <v>0</v>
      </c>
      <c r="IW15">
        <v>0</v>
      </c>
      <c r="IX15">
        <v>0</v>
      </c>
      <c r="IY15">
        <v>0</v>
      </c>
      <c r="IZ15">
        <v>0</v>
      </c>
      <c r="JA15">
        <v>0</v>
      </c>
      <c r="JB15">
        <v>0</v>
      </c>
      <c r="JC15">
        <v>0</v>
      </c>
      <c r="JD15">
        <v>0</v>
      </c>
      <c r="JE15">
        <v>32293</v>
      </c>
      <c r="JF15">
        <v>5374382</v>
      </c>
      <c r="JG15">
        <v>7201</v>
      </c>
      <c r="JH15">
        <v>1106443</v>
      </c>
      <c r="JI15">
        <v>6619</v>
      </c>
      <c r="JJ15">
        <v>-749572</v>
      </c>
      <c r="JK15">
        <v>35410</v>
      </c>
      <c r="JL15">
        <v>0</v>
      </c>
      <c r="JM15">
        <v>0</v>
      </c>
      <c r="JN15">
        <v>0</v>
      </c>
      <c r="JO15">
        <v>1588687</v>
      </c>
      <c r="JP15">
        <v>0</v>
      </c>
      <c r="JQ15">
        <v>3674533</v>
      </c>
      <c r="JR15">
        <v>0</v>
      </c>
      <c r="JS15">
        <v>0</v>
      </c>
      <c r="JT15">
        <v>0</v>
      </c>
      <c r="JU15">
        <v>0</v>
      </c>
      <c r="JV15">
        <v>0</v>
      </c>
      <c r="JW15">
        <v>0</v>
      </c>
      <c r="JX15">
        <v>67505344</v>
      </c>
      <c r="JY15">
        <v>0</v>
      </c>
      <c r="JZ15">
        <v>12168432</v>
      </c>
      <c r="KA15">
        <v>0</v>
      </c>
      <c r="KB15">
        <v>0</v>
      </c>
      <c r="KC15">
        <v>-230353</v>
      </c>
      <c r="KD15">
        <v>0</v>
      </c>
      <c r="KE15">
        <v>0</v>
      </c>
      <c r="KF15">
        <v>0</v>
      </c>
      <c r="KG15">
        <v>416475</v>
      </c>
      <c r="KH15">
        <v>0</v>
      </c>
      <c r="KI15">
        <v>1131</v>
      </c>
      <c r="KJ15">
        <v>0</v>
      </c>
      <c r="KK15">
        <v>0</v>
      </c>
      <c r="KL15">
        <v>0</v>
      </c>
      <c r="KM15">
        <v>0</v>
      </c>
      <c r="KN15">
        <v>0</v>
      </c>
      <c r="KO15">
        <v>0</v>
      </c>
      <c r="KP15">
        <v>0</v>
      </c>
      <c r="KQ15">
        <v>276566</v>
      </c>
      <c r="KR15">
        <v>0</v>
      </c>
      <c r="KS15">
        <v>0</v>
      </c>
      <c r="KT15">
        <v>0</v>
      </c>
      <c r="KU15">
        <v>0</v>
      </c>
      <c r="KV15">
        <v>0</v>
      </c>
      <c r="KW15">
        <v>0</v>
      </c>
      <c r="KX15">
        <v>2044</v>
      </c>
      <c r="KY15">
        <v>13119687</v>
      </c>
      <c r="KZ15">
        <v>0</v>
      </c>
      <c r="LA15">
        <v>0</v>
      </c>
      <c r="LB15">
        <v>0</v>
      </c>
      <c r="LC15">
        <v>0</v>
      </c>
      <c r="LD15">
        <v>0</v>
      </c>
      <c r="LE15">
        <v>0</v>
      </c>
      <c r="LF15">
        <v>-114149</v>
      </c>
      <c r="LG15">
        <v>21888775</v>
      </c>
      <c r="LH15">
        <v>70190882</v>
      </c>
      <c r="LI15">
        <v>0</v>
      </c>
      <c r="LJ15">
        <v>16165400</v>
      </c>
      <c r="LK15">
        <v>0</v>
      </c>
      <c r="LL15">
        <v>0</v>
      </c>
      <c r="LM15">
        <v>0</v>
      </c>
      <c r="LN15">
        <v>0</v>
      </c>
      <c r="LO15">
        <v>0</v>
      </c>
      <c r="LP15">
        <v>5494435</v>
      </c>
      <c r="LQ15">
        <v>2425442</v>
      </c>
      <c r="LR15">
        <v>0</v>
      </c>
      <c r="LS15">
        <v>3175125</v>
      </c>
      <c r="LT15">
        <v>0</v>
      </c>
      <c r="LU15">
        <v>0</v>
      </c>
      <c r="LV15">
        <v>0</v>
      </c>
      <c r="LW15">
        <v>0</v>
      </c>
      <c r="LX15">
        <v>0</v>
      </c>
      <c r="LY15">
        <v>131535</v>
      </c>
      <c r="LZ15">
        <v>420133</v>
      </c>
      <c r="MA15">
        <v>0</v>
      </c>
      <c r="MB15">
        <v>2269039</v>
      </c>
      <c r="MC15">
        <v>0</v>
      </c>
      <c r="MD15">
        <v>0</v>
      </c>
      <c r="ME15">
        <v>0</v>
      </c>
      <c r="MF15">
        <v>0</v>
      </c>
      <c r="MG15">
        <v>0</v>
      </c>
      <c r="MH15">
        <v>1069737</v>
      </c>
      <c r="MI15">
        <v>18995207</v>
      </c>
      <c r="MJ15">
        <v>0</v>
      </c>
      <c r="MK15">
        <v>306069</v>
      </c>
      <c r="ML15">
        <v>0</v>
      </c>
      <c r="MM15">
        <v>0</v>
      </c>
      <c r="MN15">
        <v>0</v>
      </c>
      <c r="MO15">
        <v>0</v>
      </c>
      <c r="MP15">
        <v>0</v>
      </c>
      <c r="MQ15">
        <v>18303100</v>
      </c>
      <c r="MR15">
        <v>29936748</v>
      </c>
      <c r="MS15">
        <v>0</v>
      </c>
      <c r="MT15">
        <v>1560569</v>
      </c>
      <c r="MU15">
        <v>0</v>
      </c>
      <c r="MV15">
        <v>0</v>
      </c>
      <c r="MW15">
        <v>0</v>
      </c>
      <c r="MX15">
        <v>0</v>
      </c>
      <c r="MY15">
        <v>0</v>
      </c>
      <c r="MZ15">
        <v>1408367</v>
      </c>
      <c r="NA15">
        <v>1712838</v>
      </c>
      <c r="NB15">
        <v>0</v>
      </c>
      <c r="NC15">
        <v>0</v>
      </c>
      <c r="ND15">
        <v>2803</v>
      </c>
      <c r="NE15">
        <v>0</v>
      </c>
      <c r="NF15">
        <v>0</v>
      </c>
      <c r="NG15">
        <v>0</v>
      </c>
      <c r="NH15">
        <v>0</v>
      </c>
      <c r="NI15">
        <v>11655669</v>
      </c>
      <c r="NJ15">
        <v>260667</v>
      </c>
      <c r="NK15">
        <v>0</v>
      </c>
      <c r="NL15">
        <v>0</v>
      </c>
      <c r="NM15">
        <v>0</v>
      </c>
      <c r="NN15">
        <v>0</v>
      </c>
      <c r="NO15">
        <v>0</v>
      </c>
      <c r="NP15">
        <v>0</v>
      </c>
      <c r="NQ15">
        <v>0</v>
      </c>
      <c r="NR15">
        <v>6762248</v>
      </c>
      <c r="NS15">
        <v>2271960</v>
      </c>
      <c r="NT15">
        <v>0</v>
      </c>
      <c r="NU15">
        <v>0</v>
      </c>
      <c r="NV15">
        <v>0</v>
      </c>
      <c r="NW15">
        <v>0</v>
      </c>
      <c r="NX15">
        <v>1485633</v>
      </c>
      <c r="NY15">
        <v>0</v>
      </c>
      <c r="NZ15">
        <v>0</v>
      </c>
      <c r="OA15">
        <v>0</v>
      </c>
      <c r="OB15">
        <v>238455</v>
      </c>
      <c r="OC15">
        <v>0</v>
      </c>
      <c r="OD15">
        <v>475064</v>
      </c>
      <c r="OE15">
        <v>0</v>
      </c>
      <c r="OF15">
        <v>0</v>
      </c>
      <c r="OG15">
        <v>0</v>
      </c>
      <c r="OH15">
        <v>0</v>
      </c>
      <c r="OI15">
        <v>0</v>
      </c>
      <c r="OJ15">
        <v>0</v>
      </c>
      <c r="OK15">
        <v>0</v>
      </c>
      <c r="OL15">
        <v>216044</v>
      </c>
      <c r="OM15">
        <v>0</v>
      </c>
      <c r="ON15">
        <v>0</v>
      </c>
      <c r="OO15">
        <v>0</v>
      </c>
      <c r="OP15">
        <v>0</v>
      </c>
      <c r="OQ15">
        <v>0</v>
      </c>
      <c r="OR15">
        <v>0</v>
      </c>
      <c r="OS15">
        <v>743788</v>
      </c>
      <c r="OT15">
        <v>683596</v>
      </c>
      <c r="OU15">
        <v>0</v>
      </c>
      <c r="OV15">
        <v>87685</v>
      </c>
      <c r="OW15">
        <v>0</v>
      </c>
      <c r="OX15">
        <v>0</v>
      </c>
      <c r="OY15">
        <v>0</v>
      </c>
      <c r="OZ15">
        <v>0</v>
      </c>
      <c r="PA15">
        <v>0</v>
      </c>
      <c r="PB15">
        <v>0</v>
      </c>
      <c r="PC15">
        <v>0</v>
      </c>
      <c r="PD15">
        <v>0</v>
      </c>
      <c r="PE15">
        <v>0</v>
      </c>
      <c r="PF15">
        <v>0</v>
      </c>
      <c r="PG15">
        <v>0</v>
      </c>
      <c r="PH15">
        <v>0</v>
      </c>
      <c r="PI15">
        <v>0</v>
      </c>
      <c r="PJ15">
        <v>0</v>
      </c>
      <c r="PK15">
        <v>0</v>
      </c>
      <c r="PL15">
        <v>0</v>
      </c>
      <c r="PM15">
        <v>0</v>
      </c>
      <c r="PN15">
        <v>0</v>
      </c>
      <c r="PO15">
        <v>0</v>
      </c>
      <c r="PP15">
        <v>0</v>
      </c>
      <c r="PQ15">
        <v>-27703730</v>
      </c>
      <c r="PR15">
        <v>0</v>
      </c>
      <c r="PS15">
        <v>0</v>
      </c>
      <c r="PT15">
        <v>-2685331</v>
      </c>
      <c r="PU15">
        <v>829369</v>
      </c>
      <c r="PV15">
        <v>0</v>
      </c>
      <c r="PW15">
        <v>787304</v>
      </c>
      <c r="PX15">
        <v>0</v>
      </c>
      <c r="PY15">
        <v>0</v>
      </c>
      <c r="PZ15">
        <v>3194245</v>
      </c>
      <c r="QA15">
        <v>0</v>
      </c>
      <c r="QB15">
        <v>0</v>
      </c>
      <c r="QC15">
        <v>0</v>
      </c>
      <c r="QD15">
        <v>0</v>
      </c>
      <c r="QE15">
        <v>0</v>
      </c>
      <c r="QF15">
        <v>0</v>
      </c>
      <c r="QG15">
        <v>0</v>
      </c>
      <c r="QH15">
        <v>0</v>
      </c>
      <c r="QI15">
        <v>26692305</v>
      </c>
      <c r="QJ15">
        <v>0</v>
      </c>
      <c r="QK15">
        <v>0</v>
      </c>
      <c r="QL15">
        <v>-11103241</v>
      </c>
      <c r="QM15">
        <v>0</v>
      </c>
      <c r="QN15">
        <v>0</v>
      </c>
      <c r="QO15">
        <v>0</v>
      </c>
      <c r="QP15">
        <v>0</v>
      </c>
      <c r="QQ15">
        <v>0</v>
      </c>
      <c r="QR15">
        <v>-1406365</v>
      </c>
      <c r="QS15">
        <v>0</v>
      </c>
      <c r="QT15">
        <v>0</v>
      </c>
      <c r="QU15">
        <v>0</v>
      </c>
      <c r="QV15">
        <v>-4220</v>
      </c>
      <c r="QW15">
        <v>0</v>
      </c>
      <c r="QX15">
        <v>0</v>
      </c>
      <c r="QY15">
        <v>0</v>
      </c>
      <c r="QZ15">
        <v>2199694</v>
      </c>
      <c r="RA15">
        <v>0</v>
      </c>
      <c r="RB15">
        <v>0</v>
      </c>
      <c r="RC15">
        <v>0</v>
      </c>
      <c r="RD15">
        <v>0</v>
      </c>
      <c r="RE15">
        <v>0</v>
      </c>
      <c r="RF15">
        <v>0</v>
      </c>
      <c r="RG15">
        <v>0</v>
      </c>
      <c r="RH15">
        <v>0</v>
      </c>
      <c r="RI15">
        <v>756</v>
      </c>
      <c r="RJ15">
        <v>0</v>
      </c>
      <c r="RK15">
        <v>0</v>
      </c>
      <c r="RL15">
        <v>0</v>
      </c>
      <c r="RM15">
        <v>0</v>
      </c>
      <c r="RN15">
        <v>0</v>
      </c>
      <c r="RO15">
        <v>0</v>
      </c>
      <c r="RP15">
        <v>0</v>
      </c>
      <c r="RQ15">
        <v>0</v>
      </c>
      <c r="RR15">
        <v>0</v>
      </c>
      <c r="RS15">
        <v>0</v>
      </c>
      <c r="RT15">
        <v>0</v>
      </c>
      <c r="RU15">
        <v>-10723262</v>
      </c>
      <c r="RV15">
        <v>0</v>
      </c>
      <c r="RW15">
        <v>0</v>
      </c>
      <c r="RX15">
        <v>0</v>
      </c>
      <c r="RY15">
        <v>0</v>
      </c>
      <c r="RZ15">
        <v>0</v>
      </c>
      <c r="SA15">
        <v>0</v>
      </c>
      <c r="SB15">
        <v>0</v>
      </c>
      <c r="SC15">
        <v>-38816</v>
      </c>
      <c r="SD15">
        <v>0</v>
      </c>
      <c r="SE15">
        <v>0</v>
      </c>
      <c r="SF15">
        <v>0</v>
      </c>
      <c r="SG15">
        <v>0</v>
      </c>
      <c r="SH15">
        <v>0</v>
      </c>
      <c r="SI15">
        <v>0</v>
      </c>
      <c r="SJ15">
        <v>0</v>
      </c>
      <c r="SK15">
        <v>0</v>
      </c>
      <c r="SL15">
        <v>0</v>
      </c>
      <c r="SM15">
        <v>0</v>
      </c>
      <c r="SN15">
        <v>0</v>
      </c>
      <c r="SO15">
        <v>0</v>
      </c>
      <c r="SP15">
        <v>0</v>
      </c>
      <c r="SQ15">
        <v>0</v>
      </c>
      <c r="SR15">
        <v>0</v>
      </c>
      <c r="SS15">
        <v>0</v>
      </c>
      <c r="ST15">
        <v>0</v>
      </c>
      <c r="SU15">
        <v>0</v>
      </c>
      <c r="SV15">
        <v>39388</v>
      </c>
      <c r="SW15">
        <v>743788</v>
      </c>
      <c r="SX15">
        <v>683595</v>
      </c>
      <c r="SY15">
        <v>0</v>
      </c>
      <c r="SZ15">
        <v>87685</v>
      </c>
      <c r="TA15">
        <v>0</v>
      </c>
      <c r="TB15">
        <v>0</v>
      </c>
      <c r="TC15">
        <v>27703730</v>
      </c>
      <c r="TD15">
        <v>0</v>
      </c>
      <c r="TE15">
        <v>0</v>
      </c>
      <c r="TF15">
        <v>45788829</v>
      </c>
      <c r="TI15">
        <v>10810355</v>
      </c>
      <c r="TJ15">
        <v>-1818785</v>
      </c>
      <c r="TK15">
        <v>385241</v>
      </c>
      <c r="TL15">
        <v>421796</v>
      </c>
      <c r="TM15">
        <v>0</v>
      </c>
      <c r="TN15">
        <v>0</v>
      </c>
      <c r="TO15">
        <v>231462</v>
      </c>
      <c r="TP15">
        <v>71316</v>
      </c>
      <c r="TQ15">
        <v>378308</v>
      </c>
      <c r="TR15">
        <v>26946</v>
      </c>
      <c r="TS15">
        <v>0</v>
      </c>
      <c r="TT15">
        <v>0</v>
      </c>
      <c r="TU15">
        <v>0</v>
      </c>
      <c r="TV15">
        <v>0</v>
      </c>
      <c r="TW15">
        <v>0</v>
      </c>
      <c r="TX15">
        <v>0</v>
      </c>
      <c r="TY15">
        <v>0</v>
      </c>
      <c r="TZ15">
        <v>0</v>
      </c>
      <c r="UA15">
        <v>0</v>
      </c>
      <c r="UB15">
        <v>0</v>
      </c>
      <c r="UC15">
        <v>0</v>
      </c>
      <c r="UD15">
        <v>0</v>
      </c>
      <c r="UE15">
        <v>0</v>
      </c>
      <c r="UF15">
        <v>36684</v>
      </c>
      <c r="UG15">
        <v>0</v>
      </c>
      <c r="UH15">
        <v>0</v>
      </c>
      <c r="UI15">
        <v>0</v>
      </c>
      <c r="UJ15">
        <v>0</v>
      </c>
      <c r="UK15">
        <v>0</v>
      </c>
      <c r="UL15">
        <v>0</v>
      </c>
      <c r="UM15">
        <v>0</v>
      </c>
      <c r="UN15">
        <v>0</v>
      </c>
      <c r="UO15">
        <v>108245057</v>
      </c>
      <c r="UP15">
        <v>11095002</v>
      </c>
      <c r="UQ15">
        <v>2820707</v>
      </c>
      <c r="UR15">
        <v>20371013</v>
      </c>
      <c r="US15">
        <v>49800417</v>
      </c>
      <c r="UT15">
        <v>3124008</v>
      </c>
      <c r="UU15">
        <v>11916336</v>
      </c>
      <c r="UV15">
        <v>10519841</v>
      </c>
      <c r="UW15">
        <v>713519</v>
      </c>
      <c r="UX15">
        <v>216044</v>
      </c>
      <c r="UY15">
        <v>25096491</v>
      </c>
      <c r="UZ15">
        <v>2195474</v>
      </c>
      <c r="VC15" t="s">
        <v>1590</v>
      </c>
      <c r="VD15" t="s">
        <v>1591</v>
      </c>
      <c r="VE15" s="638" t="s">
        <v>1592</v>
      </c>
    </row>
    <row r="16" spans="1:577" ht="46.5" customHeight="1" thickBot="1">
      <c r="A16" s="447">
        <v>500</v>
      </c>
      <c r="B16" s="445" t="s">
        <v>1316</v>
      </c>
      <c r="C16" s="446" t="s">
        <v>1328</v>
      </c>
      <c r="D16" t="s">
        <v>1421</v>
      </c>
      <c r="E16" s="859">
        <v>203599</v>
      </c>
      <c r="F16" s="534">
        <v>290060773</v>
      </c>
      <c r="G16" s="491" t="s">
        <v>1422</v>
      </c>
      <c r="H16" t="s">
        <v>1316</v>
      </c>
      <c r="M16">
        <v>26403746</v>
      </c>
      <c r="N16">
        <v>0</v>
      </c>
      <c r="O16">
        <v>0</v>
      </c>
      <c r="P16">
        <v>0</v>
      </c>
      <c r="Q16">
        <v>0</v>
      </c>
      <c r="R16">
        <v>0</v>
      </c>
      <c r="S16">
        <v>0</v>
      </c>
      <c r="T16">
        <v>0</v>
      </c>
      <c r="U16">
        <v>0</v>
      </c>
      <c r="V16">
        <v>2925000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-152970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693178</v>
      </c>
      <c r="CQ16">
        <v>1109303</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-9611</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6600</v>
      </c>
      <c r="GC16">
        <v>347504</v>
      </c>
      <c r="GD16">
        <v>99537</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4297754</v>
      </c>
      <c r="IH16">
        <v>0</v>
      </c>
      <c r="II16">
        <v>0</v>
      </c>
      <c r="IJ16">
        <v>0</v>
      </c>
      <c r="IK16">
        <v>0</v>
      </c>
      <c r="IL16">
        <v>0</v>
      </c>
      <c r="IM16">
        <v>0</v>
      </c>
      <c r="IN16">
        <v>4464325</v>
      </c>
      <c r="IO16">
        <v>0</v>
      </c>
      <c r="IP16">
        <v>0</v>
      </c>
      <c r="IQ16">
        <v>0</v>
      </c>
      <c r="IR16">
        <v>0</v>
      </c>
      <c r="IS16">
        <v>0</v>
      </c>
      <c r="IT16">
        <v>0</v>
      </c>
      <c r="IU16">
        <v>0</v>
      </c>
      <c r="IV16">
        <v>0</v>
      </c>
      <c r="IW16">
        <v>0</v>
      </c>
      <c r="IX16">
        <v>0</v>
      </c>
      <c r="IY16">
        <v>0</v>
      </c>
      <c r="IZ16">
        <v>0</v>
      </c>
      <c r="JA16">
        <v>0</v>
      </c>
      <c r="JB16">
        <v>0</v>
      </c>
      <c r="JC16">
        <v>0</v>
      </c>
      <c r="JD16">
        <v>0</v>
      </c>
      <c r="JE16">
        <v>0</v>
      </c>
      <c r="JF16">
        <v>1296917</v>
      </c>
      <c r="JG16">
        <v>0</v>
      </c>
      <c r="JH16">
        <v>88482</v>
      </c>
      <c r="JI16">
        <v>0</v>
      </c>
      <c r="JJ16">
        <v>-192</v>
      </c>
      <c r="JK16">
        <v>0</v>
      </c>
      <c r="JL16">
        <v>0</v>
      </c>
      <c r="JM16">
        <v>0</v>
      </c>
      <c r="JN16">
        <v>0</v>
      </c>
      <c r="JO16">
        <v>26928876</v>
      </c>
      <c r="JP16">
        <v>0</v>
      </c>
      <c r="JQ16">
        <v>0</v>
      </c>
      <c r="JR16">
        <v>0</v>
      </c>
      <c r="JS16">
        <v>0</v>
      </c>
      <c r="JT16">
        <v>0</v>
      </c>
      <c r="JU16">
        <v>0</v>
      </c>
      <c r="JV16">
        <v>0</v>
      </c>
      <c r="JW16">
        <v>0</v>
      </c>
      <c r="JX16">
        <v>340030</v>
      </c>
      <c r="JY16">
        <v>0</v>
      </c>
      <c r="JZ16">
        <v>3807164</v>
      </c>
      <c r="KA16">
        <v>0</v>
      </c>
      <c r="KB16">
        <v>0</v>
      </c>
      <c r="KC16">
        <v>0</v>
      </c>
      <c r="KD16">
        <v>0</v>
      </c>
      <c r="KE16">
        <v>0</v>
      </c>
      <c r="KF16">
        <v>0</v>
      </c>
      <c r="KG16">
        <v>27769</v>
      </c>
      <c r="KH16">
        <v>0</v>
      </c>
      <c r="KI16">
        <v>225424</v>
      </c>
      <c r="KJ16">
        <v>0</v>
      </c>
      <c r="KK16">
        <v>0</v>
      </c>
      <c r="KL16">
        <v>0</v>
      </c>
      <c r="KM16">
        <v>0</v>
      </c>
      <c r="KN16">
        <v>0</v>
      </c>
      <c r="KO16">
        <v>0</v>
      </c>
      <c r="KP16">
        <v>0</v>
      </c>
      <c r="KQ16">
        <v>0</v>
      </c>
      <c r="KR16">
        <v>0</v>
      </c>
      <c r="KS16">
        <v>0</v>
      </c>
      <c r="KT16">
        <v>0</v>
      </c>
      <c r="KU16">
        <v>0</v>
      </c>
      <c r="KV16">
        <v>0</v>
      </c>
      <c r="KW16">
        <v>0</v>
      </c>
      <c r="KX16">
        <v>0</v>
      </c>
      <c r="KY16">
        <v>12499088</v>
      </c>
      <c r="KZ16">
        <v>0</v>
      </c>
      <c r="LA16">
        <v>37500</v>
      </c>
      <c r="LB16">
        <v>0</v>
      </c>
      <c r="LC16">
        <v>0</v>
      </c>
      <c r="LD16">
        <v>0</v>
      </c>
      <c r="LE16">
        <v>0</v>
      </c>
      <c r="LF16">
        <v>0</v>
      </c>
      <c r="LG16">
        <v>14076861</v>
      </c>
      <c r="LH16">
        <v>2891437</v>
      </c>
      <c r="LI16">
        <v>0</v>
      </c>
      <c r="LJ16">
        <v>758650</v>
      </c>
      <c r="LK16">
        <v>0</v>
      </c>
      <c r="LL16">
        <v>0</v>
      </c>
      <c r="LM16">
        <v>0</v>
      </c>
      <c r="LN16">
        <v>0</v>
      </c>
      <c r="LO16">
        <v>0</v>
      </c>
      <c r="LP16">
        <v>3557234</v>
      </c>
      <c r="LQ16">
        <v>2455033</v>
      </c>
      <c r="LR16">
        <v>0</v>
      </c>
      <c r="LS16">
        <v>3747084</v>
      </c>
      <c r="LT16">
        <v>0</v>
      </c>
      <c r="LU16">
        <v>0</v>
      </c>
      <c r="LV16">
        <v>0</v>
      </c>
      <c r="LW16">
        <v>0</v>
      </c>
      <c r="LX16">
        <v>0</v>
      </c>
      <c r="LY16">
        <v>207203</v>
      </c>
      <c r="LZ16">
        <v>5354</v>
      </c>
      <c r="MA16">
        <v>0</v>
      </c>
      <c r="MB16">
        <v>2570467</v>
      </c>
      <c r="MC16">
        <v>0</v>
      </c>
      <c r="MD16">
        <v>0</v>
      </c>
      <c r="ME16">
        <v>0</v>
      </c>
      <c r="MF16">
        <v>0</v>
      </c>
      <c r="MG16">
        <v>0</v>
      </c>
      <c r="MH16">
        <v>1263068</v>
      </c>
      <c r="MI16">
        <v>24233914</v>
      </c>
      <c r="MJ16">
        <v>0</v>
      </c>
      <c r="MK16">
        <v>832275</v>
      </c>
      <c r="ML16">
        <v>0</v>
      </c>
      <c r="MM16">
        <v>0</v>
      </c>
      <c r="MN16">
        <v>0</v>
      </c>
      <c r="MO16">
        <v>0</v>
      </c>
      <c r="MP16">
        <v>0</v>
      </c>
      <c r="MQ16">
        <v>9097296</v>
      </c>
      <c r="MR16">
        <v>548724</v>
      </c>
      <c r="MS16">
        <v>0</v>
      </c>
      <c r="MT16">
        <v>383440</v>
      </c>
      <c r="MU16">
        <v>0</v>
      </c>
      <c r="MV16">
        <v>0</v>
      </c>
      <c r="MW16">
        <v>0</v>
      </c>
      <c r="MX16">
        <v>0</v>
      </c>
      <c r="MY16">
        <v>0</v>
      </c>
      <c r="MZ16">
        <v>941975</v>
      </c>
      <c r="NA16">
        <v>220371</v>
      </c>
      <c r="NB16">
        <v>0</v>
      </c>
      <c r="NC16">
        <v>911918</v>
      </c>
      <c r="ND16">
        <v>0</v>
      </c>
      <c r="NE16">
        <v>0</v>
      </c>
      <c r="NF16">
        <v>0</v>
      </c>
      <c r="NG16">
        <v>0</v>
      </c>
      <c r="NH16">
        <v>0</v>
      </c>
      <c r="NI16">
        <v>2902758</v>
      </c>
      <c r="NJ16">
        <v>500565</v>
      </c>
      <c r="NK16">
        <v>0</v>
      </c>
      <c r="NL16">
        <v>1068152</v>
      </c>
      <c r="NM16">
        <v>0</v>
      </c>
      <c r="NN16">
        <v>0</v>
      </c>
      <c r="NO16">
        <v>0</v>
      </c>
      <c r="NP16">
        <v>0</v>
      </c>
      <c r="NQ16">
        <v>0</v>
      </c>
      <c r="NR16">
        <v>2432992</v>
      </c>
      <c r="NS16">
        <v>460055</v>
      </c>
      <c r="NT16">
        <v>0</v>
      </c>
      <c r="NU16">
        <v>0</v>
      </c>
      <c r="NV16">
        <v>0</v>
      </c>
      <c r="NW16">
        <v>0</v>
      </c>
      <c r="NX16">
        <v>1205589</v>
      </c>
      <c r="NY16">
        <v>0</v>
      </c>
      <c r="NZ16">
        <v>0</v>
      </c>
      <c r="OA16">
        <v>1046996</v>
      </c>
      <c r="OB16">
        <v>0</v>
      </c>
      <c r="OC16">
        <v>0</v>
      </c>
      <c r="OD16">
        <v>0</v>
      </c>
      <c r="OE16">
        <v>0</v>
      </c>
      <c r="OF16">
        <v>0</v>
      </c>
      <c r="OG16">
        <v>0</v>
      </c>
      <c r="OH16">
        <v>0</v>
      </c>
      <c r="OI16">
        <v>0</v>
      </c>
      <c r="OJ16">
        <v>0</v>
      </c>
      <c r="OK16">
        <v>0</v>
      </c>
      <c r="OL16">
        <v>0</v>
      </c>
      <c r="OM16">
        <v>0</v>
      </c>
      <c r="ON16">
        <v>0</v>
      </c>
      <c r="OO16">
        <v>0</v>
      </c>
      <c r="OP16">
        <v>0</v>
      </c>
      <c r="OQ16">
        <v>0</v>
      </c>
      <c r="OR16">
        <v>0</v>
      </c>
      <c r="OS16">
        <v>132992</v>
      </c>
      <c r="OT16">
        <v>236995</v>
      </c>
      <c r="OU16">
        <v>0</v>
      </c>
      <c r="OV16">
        <v>182593</v>
      </c>
      <c r="OW16">
        <v>0</v>
      </c>
      <c r="OX16">
        <v>0</v>
      </c>
      <c r="OY16">
        <v>0</v>
      </c>
      <c r="OZ16">
        <v>0</v>
      </c>
      <c r="PA16">
        <v>0</v>
      </c>
      <c r="PB16">
        <v>0</v>
      </c>
      <c r="PC16">
        <v>0</v>
      </c>
      <c r="PD16">
        <v>0</v>
      </c>
      <c r="PE16">
        <v>0</v>
      </c>
      <c r="PF16">
        <v>0</v>
      </c>
      <c r="PG16">
        <v>0</v>
      </c>
      <c r="PH16">
        <v>0</v>
      </c>
      <c r="PI16">
        <v>0</v>
      </c>
      <c r="PJ16">
        <v>0</v>
      </c>
      <c r="PK16">
        <v>0</v>
      </c>
      <c r="PL16">
        <v>0</v>
      </c>
      <c r="PM16">
        <v>0</v>
      </c>
      <c r="PN16">
        <v>0</v>
      </c>
      <c r="PO16">
        <v>0</v>
      </c>
      <c r="PP16">
        <v>0</v>
      </c>
      <c r="PQ16">
        <v>-5715874</v>
      </c>
      <c r="PR16">
        <v>0</v>
      </c>
      <c r="PS16">
        <v>0</v>
      </c>
      <c r="PT16">
        <v>-881771</v>
      </c>
      <c r="PU16">
        <v>1441874</v>
      </c>
      <c r="PV16">
        <v>-43670</v>
      </c>
      <c r="PW16">
        <v>1426253</v>
      </c>
      <c r="PX16">
        <v>0</v>
      </c>
      <c r="PY16">
        <v>7137</v>
      </c>
      <c r="PZ16">
        <v>-2084336</v>
      </c>
      <c r="QA16">
        <v>0</v>
      </c>
      <c r="QB16">
        <v>0</v>
      </c>
      <c r="QC16">
        <v>0</v>
      </c>
      <c r="QD16">
        <v>0</v>
      </c>
      <c r="QE16">
        <v>0</v>
      </c>
      <c r="QF16">
        <v>0</v>
      </c>
      <c r="QG16">
        <v>0</v>
      </c>
      <c r="QH16">
        <v>0</v>
      </c>
      <c r="QI16">
        <v>21046673</v>
      </c>
      <c r="QJ16">
        <v>0</v>
      </c>
      <c r="QK16">
        <v>0</v>
      </c>
      <c r="QL16">
        <v>0</v>
      </c>
      <c r="QM16">
        <v>0</v>
      </c>
      <c r="QN16">
        <v>0</v>
      </c>
      <c r="QO16">
        <v>0</v>
      </c>
      <c r="QP16">
        <v>0</v>
      </c>
      <c r="QQ16">
        <v>0</v>
      </c>
      <c r="QR16">
        <v>0</v>
      </c>
      <c r="QS16">
        <v>0</v>
      </c>
      <c r="QT16">
        <v>0</v>
      </c>
      <c r="QU16">
        <v>0</v>
      </c>
      <c r="QV16">
        <v>0</v>
      </c>
      <c r="QW16">
        <v>0</v>
      </c>
      <c r="QX16">
        <v>0</v>
      </c>
      <c r="QY16">
        <v>0</v>
      </c>
      <c r="QZ16">
        <v>15251</v>
      </c>
      <c r="RA16">
        <v>0</v>
      </c>
      <c r="RB16">
        <v>0</v>
      </c>
      <c r="RC16">
        <v>0</v>
      </c>
      <c r="RD16">
        <v>0</v>
      </c>
      <c r="RE16">
        <v>0</v>
      </c>
      <c r="RF16">
        <v>0</v>
      </c>
      <c r="RG16">
        <v>0</v>
      </c>
      <c r="RH16">
        <v>0</v>
      </c>
      <c r="RI16">
        <v>330000</v>
      </c>
      <c r="RJ16">
        <v>0</v>
      </c>
      <c r="RK16">
        <v>0</v>
      </c>
      <c r="RL16">
        <v>0</v>
      </c>
      <c r="RM16">
        <v>0</v>
      </c>
      <c r="RN16">
        <v>0</v>
      </c>
      <c r="RO16">
        <v>0</v>
      </c>
      <c r="RP16">
        <v>0</v>
      </c>
      <c r="RQ16">
        <v>0</v>
      </c>
      <c r="RR16">
        <v>0</v>
      </c>
      <c r="RS16">
        <v>0</v>
      </c>
      <c r="RT16">
        <v>0</v>
      </c>
      <c r="RU16">
        <v>-7748667</v>
      </c>
      <c r="RV16">
        <v>0</v>
      </c>
      <c r="RW16">
        <v>0</v>
      </c>
      <c r="RX16">
        <v>0</v>
      </c>
      <c r="RY16">
        <v>0</v>
      </c>
      <c r="RZ16">
        <v>0</v>
      </c>
      <c r="SA16">
        <v>0</v>
      </c>
      <c r="SB16">
        <v>0</v>
      </c>
      <c r="SC16">
        <v>0</v>
      </c>
      <c r="SD16">
        <v>0</v>
      </c>
      <c r="SE16">
        <v>0</v>
      </c>
      <c r="SF16">
        <v>0</v>
      </c>
      <c r="SG16">
        <v>0</v>
      </c>
      <c r="SH16">
        <v>0</v>
      </c>
      <c r="SI16">
        <v>0</v>
      </c>
      <c r="SJ16">
        <v>0</v>
      </c>
      <c r="SK16">
        <v>0</v>
      </c>
      <c r="SL16">
        <v>0</v>
      </c>
      <c r="SM16">
        <v>0</v>
      </c>
      <c r="SN16">
        <v>0</v>
      </c>
      <c r="SO16">
        <v>0</v>
      </c>
      <c r="SP16">
        <v>0</v>
      </c>
      <c r="SQ16">
        <v>0</v>
      </c>
      <c r="SR16">
        <v>0</v>
      </c>
      <c r="SS16">
        <v>0</v>
      </c>
      <c r="ST16">
        <v>0</v>
      </c>
      <c r="SU16">
        <v>0</v>
      </c>
      <c r="SV16">
        <v>0</v>
      </c>
      <c r="SW16">
        <v>0</v>
      </c>
      <c r="SX16">
        <v>0</v>
      </c>
      <c r="SY16">
        <v>0</v>
      </c>
      <c r="SZ16">
        <v>0</v>
      </c>
      <c r="TA16">
        <v>0</v>
      </c>
      <c r="TB16">
        <v>0</v>
      </c>
      <c r="TC16">
        <v>0</v>
      </c>
      <c r="TD16">
        <v>0</v>
      </c>
      <c r="TE16">
        <v>0</v>
      </c>
      <c r="TF16">
        <v>14509273</v>
      </c>
      <c r="TI16">
        <v>2256122</v>
      </c>
      <c r="TJ16">
        <v>-9611</v>
      </c>
      <c r="TK16">
        <v>0</v>
      </c>
      <c r="TL16">
        <v>0</v>
      </c>
      <c r="TM16">
        <v>68255</v>
      </c>
      <c r="TN16">
        <v>35165</v>
      </c>
      <c r="TO16">
        <v>203968</v>
      </c>
      <c r="TP16">
        <v>0</v>
      </c>
      <c r="TQ16">
        <v>0</v>
      </c>
      <c r="TR16">
        <v>245192</v>
      </c>
      <c r="TS16">
        <v>0</v>
      </c>
      <c r="TT16">
        <v>0</v>
      </c>
      <c r="TU16">
        <v>0</v>
      </c>
      <c r="TV16">
        <v>201174</v>
      </c>
      <c r="TW16">
        <v>0</v>
      </c>
      <c r="TX16">
        <v>0</v>
      </c>
      <c r="TY16">
        <v>0</v>
      </c>
      <c r="TZ16">
        <v>0</v>
      </c>
      <c r="UA16">
        <v>0</v>
      </c>
      <c r="UB16">
        <v>0</v>
      </c>
      <c r="UC16">
        <v>0</v>
      </c>
      <c r="UD16">
        <v>0</v>
      </c>
      <c r="UE16">
        <v>0</v>
      </c>
      <c r="UF16">
        <v>0</v>
      </c>
      <c r="UG16">
        <v>0</v>
      </c>
      <c r="UH16">
        <v>0</v>
      </c>
      <c r="UI16">
        <v>0</v>
      </c>
      <c r="UJ16">
        <v>0</v>
      </c>
      <c r="UK16">
        <v>0</v>
      </c>
      <c r="UL16">
        <v>0</v>
      </c>
      <c r="UM16">
        <v>0</v>
      </c>
      <c r="UN16">
        <v>0</v>
      </c>
      <c r="UO16">
        <v>17726948</v>
      </c>
      <c r="UP16">
        <v>9759351</v>
      </c>
      <c r="UQ16">
        <v>2783024</v>
      </c>
      <c r="UR16">
        <v>26329257</v>
      </c>
      <c r="US16">
        <v>10029460</v>
      </c>
      <c r="UT16">
        <v>2074264</v>
      </c>
      <c r="UU16">
        <v>4471475</v>
      </c>
      <c r="UV16">
        <v>4098636</v>
      </c>
      <c r="UW16">
        <v>1046996</v>
      </c>
      <c r="UX16">
        <v>0</v>
      </c>
      <c r="UY16">
        <v>21912689</v>
      </c>
      <c r="UZ16">
        <v>15251</v>
      </c>
      <c r="VC16" s="596" t="s">
        <v>1620</v>
      </c>
      <c r="VD16" s="50" t="s">
        <v>1621</v>
      </c>
      <c r="VE16" s="638" t="s">
        <v>1622</v>
      </c>
    </row>
    <row r="17" spans="1:577" ht="33.75" customHeight="1" thickBot="1">
      <c r="A17" s="447">
        <v>510</v>
      </c>
      <c r="B17" s="445" t="s">
        <v>1315</v>
      </c>
      <c r="C17" s="446" t="s">
        <v>1327</v>
      </c>
      <c r="D17" t="s">
        <v>1421</v>
      </c>
      <c r="E17" s="859">
        <v>203658</v>
      </c>
      <c r="F17" s="534">
        <v>254125455</v>
      </c>
      <c r="G17" s="491" t="s">
        <v>1422</v>
      </c>
      <c r="H17" t="s">
        <v>1315</v>
      </c>
      <c r="M17">
        <v>6071343</v>
      </c>
      <c r="N17">
        <v>0</v>
      </c>
      <c r="O17">
        <v>0</v>
      </c>
      <c r="P17">
        <v>0</v>
      </c>
      <c r="Q17">
        <v>0</v>
      </c>
      <c r="R17">
        <v>0</v>
      </c>
      <c r="S17">
        <v>0</v>
      </c>
      <c r="T17">
        <v>0</v>
      </c>
      <c r="U17">
        <v>0</v>
      </c>
      <c r="V17">
        <v>0</v>
      </c>
      <c r="W17">
        <v>1430606</v>
      </c>
      <c r="X17">
        <v>0</v>
      </c>
      <c r="Y17">
        <v>1256657</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24977265</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934738</v>
      </c>
      <c r="CQ17">
        <v>1362879</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-207731</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574247</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-126472</v>
      </c>
      <c r="HW17">
        <v>0</v>
      </c>
      <c r="HX17">
        <v>0</v>
      </c>
      <c r="HY17">
        <v>0</v>
      </c>
      <c r="HZ17">
        <v>0</v>
      </c>
      <c r="IA17">
        <v>0</v>
      </c>
      <c r="IB17">
        <v>0</v>
      </c>
      <c r="IC17">
        <v>0</v>
      </c>
      <c r="ID17">
        <v>0</v>
      </c>
      <c r="IE17">
        <v>0</v>
      </c>
      <c r="IF17">
        <v>0</v>
      </c>
      <c r="IG17">
        <v>9489928</v>
      </c>
      <c r="IH17">
        <v>0</v>
      </c>
      <c r="II17">
        <v>0</v>
      </c>
      <c r="IJ17">
        <v>0</v>
      </c>
      <c r="IK17">
        <v>0</v>
      </c>
      <c r="IL17">
        <v>0</v>
      </c>
      <c r="IM17">
        <v>0</v>
      </c>
      <c r="IN17">
        <v>2343886</v>
      </c>
      <c r="IO17">
        <v>0</v>
      </c>
      <c r="IP17">
        <v>0</v>
      </c>
      <c r="IQ17">
        <v>0</v>
      </c>
      <c r="IR17">
        <v>0</v>
      </c>
      <c r="IS17">
        <v>0</v>
      </c>
      <c r="IT17">
        <v>0</v>
      </c>
      <c r="IU17">
        <v>0</v>
      </c>
      <c r="IV17">
        <v>0</v>
      </c>
      <c r="IW17">
        <v>0</v>
      </c>
      <c r="IX17">
        <v>0</v>
      </c>
      <c r="IY17">
        <v>0</v>
      </c>
      <c r="IZ17">
        <v>0</v>
      </c>
      <c r="JA17">
        <v>0</v>
      </c>
      <c r="JB17">
        <v>0</v>
      </c>
      <c r="JC17">
        <v>0</v>
      </c>
      <c r="JD17">
        <v>0</v>
      </c>
      <c r="JE17">
        <v>0</v>
      </c>
      <c r="JF17">
        <v>810037</v>
      </c>
      <c r="JG17">
        <v>0</v>
      </c>
      <c r="JH17">
        <v>1112986</v>
      </c>
      <c r="JI17">
        <v>0</v>
      </c>
      <c r="JJ17">
        <v>-109</v>
      </c>
      <c r="JK17">
        <v>0</v>
      </c>
      <c r="JL17">
        <v>0</v>
      </c>
      <c r="JM17">
        <v>0</v>
      </c>
      <c r="JN17">
        <v>0</v>
      </c>
      <c r="JO17">
        <v>35838040</v>
      </c>
      <c r="JP17">
        <v>0</v>
      </c>
      <c r="JQ17">
        <v>43830</v>
      </c>
      <c r="JR17">
        <v>0</v>
      </c>
      <c r="JS17">
        <v>0</v>
      </c>
      <c r="JT17">
        <v>0</v>
      </c>
      <c r="JU17">
        <v>0</v>
      </c>
      <c r="JV17">
        <v>0</v>
      </c>
      <c r="JW17">
        <v>0</v>
      </c>
      <c r="JX17">
        <v>9805796</v>
      </c>
      <c r="JY17">
        <v>0</v>
      </c>
      <c r="JZ17">
        <v>18373790</v>
      </c>
      <c r="KA17">
        <v>0</v>
      </c>
      <c r="KB17">
        <v>0</v>
      </c>
      <c r="KC17">
        <v>0</v>
      </c>
      <c r="KD17">
        <v>0</v>
      </c>
      <c r="KE17">
        <v>0</v>
      </c>
      <c r="KF17">
        <v>0</v>
      </c>
      <c r="KG17">
        <v>84761</v>
      </c>
      <c r="KH17">
        <v>0</v>
      </c>
      <c r="KI17">
        <v>0</v>
      </c>
      <c r="KJ17">
        <v>0</v>
      </c>
      <c r="KK17">
        <v>0</v>
      </c>
      <c r="KL17">
        <v>0</v>
      </c>
      <c r="KM17">
        <v>0</v>
      </c>
      <c r="KN17">
        <v>0</v>
      </c>
      <c r="KO17">
        <v>0</v>
      </c>
      <c r="KP17">
        <v>0</v>
      </c>
      <c r="KQ17">
        <v>3152078</v>
      </c>
      <c r="KR17">
        <v>0</v>
      </c>
      <c r="KS17">
        <v>0</v>
      </c>
      <c r="KT17">
        <v>0</v>
      </c>
      <c r="KU17">
        <v>0</v>
      </c>
      <c r="KV17">
        <v>0</v>
      </c>
      <c r="KW17">
        <v>0</v>
      </c>
      <c r="KX17">
        <v>0</v>
      </c>
      <c r="KY17">
        <v>3149604</v>
      </c>
      <c r="KZ17">
        <v>0</v>
      </c>
      <c r="LA17">
        <v>0</v>
      </c>
      <c r="LB17">
        <v>0</v>
      </c>
      <c r="LC17">
        <v>0</v>
      </c>
      <c r="LD17">
        <v>0</v>
      </c>
      <c r="LE17">
        <v>0</v>
      </c>
      <c r="LF17">
        <v>122060</v>
      </c>
      <c r="LG17">
        <v>3542801</v>
      </c>
      <c r="LH17">
        <v>93495</v>
      </c>
      <c r="LI17">
        <v>0</v>
      </c>
      <c r="LJ17">
        <v>463167</v>
      </c>
      <c r="LK17">
        <v>0</v>
      </c>
      <c r="LL17">
        <v>0</v>
      </c>
      <c r="LM17">
        <v>0</v>
      </c>
      <c r="LN17">
        <v>0</v>
      </c>
      <c r="LO17">
        <v>0</v>
      </c>
      <c r="LP17">
        <v>8186067</v>
      </c>
      <c r="LQ17">
        <v>4010262</v>
      </c>
      <c r="LR17">
        <v>0</v>
      </c>
      <c r="LS17">
        <v>12578324</v>
      </c>
      <c r="LT17">
        <v>0</v>
      </c>
      <c r="LU17">
        <v>0</v>
      </c>
      <c r="LV17">
        <v>0</v>
      </c>
      <c r="LW17">
        <v>0</v>
      </c>
      <c r="LX17">
        <v>0</v>
      </c>
      <c r="LY17">
        <v>343139</v>
      </c>
      <c r="LZ17">
        <v>2535365</v>
      </c>
      <c r="MA17">
        <v>0</v>
      </c>
      <c r="MB17">
        <v>436689</v>
      </c>
      <c r="MC17">
        <v>0</v>
      </c>
      <c r="MD17">
        <v>0</v>
      </c>
      <c r="ME17">
        <v>0</v>
      </c>
      <c r="MF17">
        <v>0</v>
      </c>
      <c r="MG17">
        <v>0</v>
      </c>
      <c r="MH17">
        <v>3093544</v>
      </c>
      <c r="MI17">
        <v>13801682</v>
      </c>
      <c r="MJ17">
        <v>0</v>
      </c>
      <c r="MK17">
        <v>1844817</v>
      </c>
      <c r="ML17">
        <v>0</v>
      </c>
      <c r="MM17">
        <v>0</v>
      </c>
      <c r="MN17">
        <v>0</v>
      </c>
      <c r="MO17">
        <v>0</v>
      </c>
      <c r="MP17">
        <v>0</v>
      </c>
      <c r="MQ17">
        <v>6413956</v>
      </c>
      <c r="MR17">
        <v>27252922</v>
      </c>
      <c r="MS17">
        <v>0</v>
      </c>
      <c r="MT17">
        <v>2909984</v>
      </c>
      <c r="MU17">
        <v>0</v>
      </c>
      <c r="MV17">
        <v>0</v>
      </c>
      <c r="MW17">
        <v>0</v>
      </c>
      <c r="MX17">
        <v>0</v>
      </c>
      <c r="MY17">
        <v>0</v>
      </c>
      <c r="MZ17">
        <v>0</v>
      </c>
      <c r="NA17">
        <v>0</v>
      </c>
      <c r="NB17">
        <v>0</v>
      </c>
      <c r="NC17">
        <v>0</v>
      </c>
      <c r="ND17">
        <v>0</v>
      </c>
      <c r="NE17">
        <v>0</v>
      </c>
      <c r="NF17">
        <v>0</v>
      </c>
      <c r="NG17">
        <v>0</v>
      </c>
      <c r="NH17">
        <v>0</v>
      </c>
      <c r="NI17">
        <v>3274174</v>
      </c>
      <c r="NJ17">
        <v>14678601</v>
      </c>
      <c r="NK17">
        <v>0</v>
      </c>
      <c r="NL17">
        <v>916917</v>
      </c>
      <c r="NM17">
        <v>0</v>
      </c>
      <c r="NN17">
        <v>0</v>
      </c>
      <c r="NO17">
        <v>0</v>
      </c>
      <c r="NP17">
        <v>0</v>
      </c>
      <c r="NQ17">
        <v>0</v>
      </c>
      <c r="NR17">
        <v>3517700</v>
      </c>
      <c r="NS17">
        <v>7422845</v>
      </c>
      <c r="NT17">
        <v>0</v>
      </c>
      <c r="NU17">
        <v>0</v>
      </c>
      <c r="NV17">
        <v>0</v>
      </c>
      <c r="NW17">
        <v>0</v>
      </c>
      <c r="NX17">
        <v>1592833</v>
      </c>
      <c r="NY17">
        <v>0</v>
      </c>
      <c r="NZ17">
        <v>0</v>
      </c>
      <c r="OA17">
        <v>18247</v>
      </c>
      <c r="OB17">
        <v>290565</v>
      </c>
      <c r="OC17">
        <v>0</v>
      </c>
      <c r="OD17">
        <v>900823</v>
      </c>
      <c r="OE17">
        <v>0</v>
      </c>
      <c r="OF17">
        <v>0</v>
      </c>
      <c r="OG17">
        <v>0</v>
      </c>
      <c r="OH17">
        <v>0</v>
      </c>
      <c r="OI17">
        <v>0</v>
      </c>
      <c r="OJ17">
        <v>0</v>
      </c>
      <c r="OK17">
        <v>0</v>
      </c>
      <c r="OL17">
        <v>2596322</v>
      </c>
      <c r="OM17">
        <v>0</v>
      </c>
      <c r="ON17">
        <v>0</v>
      </c>
      <c r="OO17">
        <v>0</v>
      </c>
      <c r="OP17">
        <v>0</v>
      </c>
      <c r="OQ17">
        <v>0</v>
      </c>
      <c r="OR17">
        <v>0</v>
      </c>
      <c r="OS17">
        <v>813120</v>
      </c>
      <c r="OT17">
        <v>8505</v>
      </c>
      <c r="OU17">
        <v>0</v>
      </c>
      <c r="OV17">
        <v>568591</v>
      </c>
      <c r="OW17">
        <v>0</v>
      </c>
      <c r="OX17">
        <v>0</v>
      </c>
      <c r="OY17">
        <v>0</v>
      </c>
      <c r="OZ17">
        <v>0</v>
      </c>
      <c r="PA17">
        <v>0</v>
      </c>
      <c r="PB17">
        <v>0</v>
      </c>
      <c r="PC17">
        <v>0</v>
      </c>
      <c r="PD17">
        <v>0</v>
      </c>
      <c r="PE17">
        <v>0</v>
      </c>
      <c r="PF17">
        <v>0</v>
      </c>
      <c r="PG17">
        <v>0</v>
      </c>
      <c r="PH17">
        <v>0</v>
      </c>
      <c r="PI17">
        <v>0</v>
      </c>
      <c r="PJ17">
        <v>0</v>
      </c>
      <c r="PK17">
        <v>0</v>
      </c>
      <c r="PL17">
        <v>0</v>
      </c>
      <c r="PM17">
        <v>0</v>
      </c>
      <c r="PN17">
        <v>0</v>
      </c>
      <c r="PO17">
        <v>0</v>
      </c>
      <c r="PP17">
        <v>0</v>
      </c>
      <c r="PQ17">
        <v>-32010379</v>
      </c>
      <c r="PR17">
        <v>0</v>
      </c>
      <c r="PS17">
        <v>0</v>
      </c>
      <c r="PT17">
        <v>-25482597</v>
      </c>
      <c r="PU17">
        <v>2174505</v>
      </c>
      <c r="PV17">
        <v>0</v>
      </c>
      <c r="PW17">
        <v>-710967</v>
      </c>
      <c r="PX17">
        <v>0</v>
      </c>
      <c r="PY17">
        <v>104704</v>
      </c>
      <c r="PZ17">
        <v>5200</v>
      </c>
      <c r="QA17">
        <v>0</v>
      </c>
      <c r="QB17">
        <v>0</v>
      </c>
      <c r="QC17">
        <v>0</v>
      </c>
      <c r="QD17">
        <v>0</v>
      </c>
      <c r="QE17">
        <v>0</v>
      </c>
      <c r="QF17">
        <v>0</v>
      </c>
      <c r="QG17">
        <v>0</v>
      </c>
      <c r="QH17">
        <v>0</v>
      </c>
      <c r="QI17">
        <v>6200000</v>
      </c>
      <c r="QJ17">
        <v>0</v>
      </c>
      <c r="QK17">
        <v>0</v>
      </c>
      <c r="QL17">
        <v>-19425620</v>
      </c>
      <c r="QM17">
        <v>-521781</v>
      </c>
      <c r="QN17">
        <v>-2937117</v>
      </c>
      <c r="QO17">
        <v>-80650</v>
      </c>
      <c r="QP17">
        <v>0</v>
      </c>
      <c r="QQ17">
        <v>0</v>
      </c>
      <c r="QR17">
        <v>0</v>
      </c>
      <c r="QS17">
        <v>0</v>
      </c>
      <c r="QT17">
        <v>0</v>
      </c>
      <c r="QU17">
        <v>0</v>
      </c>
      <c r="QV17">
        <v>0</v>
      </c>
      <c r="QW17">
        <v>0</v>
      </c>
      <c r="QX17">
        <v>118567</v>
      </c>
      <c r="QY17">
        <v>0</v>
      </c>
      <c r="QZ17">
        <v>587730</v>
      </c>
      <c r="RA17">
        <v>0</v>
      </c>
      <c r="RB17">
        <v>0</v>
      </c>
      <c r="RC17">
        <v>0</v>
      </c>
      <c r="RD17">
        <v>0</v>
      </c>
      <c r="RE17">
        <v>0</v>
      </c>
      <c r="RF17">
        <v>0</v>
      </c>
      <c r="RG17">
        <v>0</v>
      </c>
      <c r="RH17">
        <v>0</v>
      </c>
      <c r="RI17">
        <v>2264242</v>
      </c>
      <c r="RJ17">
        <v>0</v>
      </c>
      <c r="RK17">
        <v>0</v>
      </c>
      <c r="RL17">
        <v>0</v>
      </c>
      <c r="RM17">
        <v>0</v>
      </c>
      <c r="RN17">
        <v>0</v>
      </c>
      <c r="RO17">
        <v>0</v>
      </c>
      <c r="RP17">
        <v>0</v>
      </c>
      <c r="RQ17">
        <v>0</v>
      </c>
      <c r="RR17">
        <v>0</v>
      </c>
      <c r="RS17">
        <v>0</v>
      </c>
      <c r="RT17">
        <v>0</v>
      </c>
      <c r="RU17">
        <v>-24893078</v>
      </c>
      <c r="RV17">
        <v>0</v>
      </c>
      <c r="RW17">
        <v>0</v>
      </c>
      <c r="RX17">
        <v>0</v>
      </c>
      <c r="RY17">
        <v>0</v>
      </c>
      <c r="RZ17">
        <v>0</v>
      </c>
      <c r="SA17">
        <v>0</v>
      </c>
      <c r="SB17">
        <v>0</v>
      </c>
      <c r="SC17">
        <v>0</v>
      </c>
      <c r="SD17">
        <v>0</v>
      </c>
      <c r="SE17">
        <v>0</v>
      </c>
      <c r="SF17">
        <v>0</v>
      </c>
      <c r="SG17">
        <v>0</v>
      </c>
      <c r="SH17">
        <v>0</v>
      </c>
      <c r="SI17">
        <v>0</v>
      </c>
      <c r="SJ17">
        <v>0</v>
      </c>
      <c r="SK17">
        <v>0</v>
      </c>
      <c r="SL17">
        <v>0</v>
      </c>
      <c r="SM17">
        <v>0</v>
      </c>
      <c r="SN17">
        <v>0</v>
      </c>
      <c r="SO17">
        <v>0</v>
      </c>
      <c r="SP17">
        <v>0</v>
      </c>
      <c r="SQ17">
        <v>0</v>
      </c>
      <c r="SR17">
        <v>0</v>
      </c>
      <c r="SS17">
        <v>0</v>
      </c>
      <c r="ST17">
        <v>0</v>
      </c>
      <c r="SU17">
        <v>0</v>
      </c>
      <c r="SV17">
        <v>0</v>
      </c>
      <c r="SW17">
        <v>0</v>
      </c>
      <c r="SX17">
        <v>0</v>
      </c>
      <c r="SY17">
        <v>0</v>
      </c>
      <c r="SZ17">
        <v>0</v>
      </c>
      <c r="TA17">
        <v>0</v>
      </c>
      <c r="TB17">
        <v>0</v>
      </c>
      <c r="TC17">
        <v>0</v>
      </c>
      <c r="TD17">
        <v>0</v>
      </c>
      <c r="TE17">
        <v>33400595</v>
      </c>
      <c r="TF17">
        <v>-64711884</v>
      </c>
      <c r="TI17">
        <v>2871864</v>
      </c>
      <c r="TJ17">
        <v>-334203</v>
      </c>
      <c r="TK17">
        <v>0</v>
      </c>
      <c r="TL17">
        <v>676809</v>
      </c>
      <c r="TM17">
        <v>0</v>
      </c>
      <c r="TN17">
        <v>42032</v>
      </c>
      <c r="TO17">
        <v>471988</v>
      </c>
      <c r="TP17">
        <v>0</v>
      </c>
      <c r="TQ17">
        <v>19277</v>
      </c>
      <c r="TR17">
        <v>180110</v>
      </c>
      <c r="TS17">
        <v>0</v>
      </c>
      <c r="TT17">
        <v>0</v>
      </c>
      <c r="TU17">
        <v>422954</v>
      </c>
      <c r="TV17">
        <v>7918579</v>
      </c>
      <c r="TW17">
        <v>150000</v>
      </c>
      <c r="TX17">
        <v>0</v>
      </c>
      <c r="TY17">
        <v>0</v>
      </c>
      <c r="TZ17">
        <v>0</v>
      </c>
      <c r="UA17">
        <v>0</v>
      </c>
      <c r="UB17">
        <v>0</v>
      </c>
      <c r="UC17">
        <v>0</v>
      </c>
      <c r="UD17">
        <v>0</v>
      </c>
      <c r="UE17">
        <v>0</v>
      </c>
      <c r="UF17">
        <v>0</v>
      </c>
      <c r="UG17">
        <v>0</v>
      </c>
      <c r="UH17">
        <v>0</v>
      </c>
      <c r="UI17">
        <v>0</v>
      </c>
      <c r="UJ17">
        <v>0</v>
      </c>
      <c r="UK17">
        <v>0</v>
      </c>
      <c r="UL17">
        <v>0</v>
      </c>
      <c r="UM17">
        <v>0</v>
      </c>
      <c r="UN17">
        <v>0</v>
      </c>
      <c r="UO17">
        <v>4099463</v>
      </c>
      <c r="UP17">
        <v>24774653</v>
      </c>
      <c r="UQ17">
        <v>3315193</v>
      </c>
      <c r="UR17">
        <v>18740043</v>
      </c>
      <c r="US17">
        <v>36576862</v>
      </c>
      <c r="UT17">
        <v>0</v>
      </c>
      <c r="UU17">
        <v>18869692</v>
      </c>
      <c r="UV17">
        <v>12533378</v>
      </c>
      <c r="UW17">
        <v>1209635</v>
      </c>
      <c r="UX17">
        <v>2596322</v>
      </c>
      <c r="UY17">
        <v>0</v>
      </c>
      <c r="UZ17">
        <v>0</v>
      </c>
      <c r="VC17" s="596" t="s">
        <v>1617</v>
      </c>
      <c r="VD17" s="50" t="s">
        <v>1618</v>
      </c>
      <c r="VE17" s="638" t="s">
        <v>1619</v>
      </c>
    </row>
    <row r="18" spans="1:577">
      <c r="A18" s="453">
        <f>COUNT(A6:A17)</f>
        <v>12</v>
      </c>
      <c r="D18"/>
      <c r="E18"/>
    </row>
    <row r="19" spans="1:577">
      <c r="D19"/>
      <c r="E19"/>
      <c r="F19" s="534">
        <f>SUM(F6:F18)</f>
        <v>67615464124</v>
      </c>
    </row>
    <row r="21" spans="1:577">
      <c r="VE21" s="638"/>
    </row>
    <row r="40" spans="1:3" ht="45.75" thickBot="1">
      <c r="A40" s="447">
        <v>390</v>
      </c>
      <c r="B40" s="445" t="s">
        <v>93</v>
      </c>
      <c r="C40" s="446" t="s">
        <v>328</v>
      </c>
    </row>
    <row r="41" spans="1:3" ht="45.75" thickBot="1">
      <c r="A41" s="447">
        <v>400</v>
      </c>
      <c r="B41" s="445" t="s">
        <v>97</v>
      </c>
      <c r="C41" s="446" t="s">
        <v>329</v>
      </c>
    </row>
    <row r="42" spans="1:3" ht="45.75" thickBot="1">
      <c r="A42" s="447">
        <v>410</v>
      </c>
      <c r="B42" s="445" t="s">
        <v>98</v>
      </c>
      <c r="C42" s="446" t="s">
        <v>330</v>
      </c>
    </row>
    <row r="43" spans="1:3" ht="45.75" thickBot="1">
      <c r="A43" s="447">
        <v>420</v>
      </c>
      <c r="B43" s="445" t="s">
        <v>99</v>
      </c>
      <c r="C43" s="446" t="s">
        <v>331</v>
      </c>
    </row>
    <row r="44" spans="1:3" ht="45.75" thickBot="1">
      <c r="A44" s="447">
        <v>430</v>
      </c>
      <c r="B44" s="445" t="s">
        <v>100</v>
      </c>
      <c r="C44" s="446" t="s">
        <v>332</v>
      </c>
    </row>
    <row r="45" spans="1:3" ht="30.75" thickBot="1">
      <c r="A45" s="447">
        <v>440</v>
      </c>
      <c r="B45" s="445" t="s">
        <v>101</v>
      </c>
      <c r="C45" s="446" t="s">
        <v>333</v>
      </c>
    </row>
    <row r="46" spans="1:3" ht="45.75" thickBot="1">
      <c r="A46" s="447">
        <v>450</v>
      </c>
      <c r="B46" s="445" t="s">
        <v>102</v>
      </c>
      <c r="C46" s="446" t="s">
        <v>334</v>
      </c>
    </row>
    <row r="47" spans="1:3" ht="45.75" thickBot="1">
      <c r="A47" s="447">
        <v>460</v>
      </c>
      <c r="B47" s="445" t="s">
        <v>104</v>
      </c>
      <c r="C47" s="446" t="s">
        <v>335</v>
      </c>
    </row>
    <row r="48" spans="1:3" ht="30.75" thickBot="1">
      <c r="A48" s="447">
        <v>470</v>
      </c>
      <c r="B48" s="445" t="s">
        <v>106</v>
      </c>
      <c r="C48" s="446" t="s">
        <v>336</v>
      </c>
    </row>
    <row r="49" spans="1:3" ht="45.75" thickBot="1">
      <c r="A49" s="447">
        <v>490</v>
      </c>
      <c r="B49" s="445" t="s">
        <v>1230</v>
      </c>
      <c r="C49" s="446" t="s">
        <v>1204</v>
      </c>
    </row>
    <row r="50" spans="1:3" ht="45.75" thickBot="1">
      <c r="A50" s="447">
        <v>500</v>
      </c>
      <c r="B50" s="445" t="s">
        <v>1315</v>
      </c>
      <c r="C50" s="446" t="s">
        <v>1327</v>
      </c>
    </row>
    <row r="51" spans="1:3" ht="45.75" thickBot="1">
      <c r="A51" s="447">
        <v>510</v>
      </c>
      <c r="B51" s="445" t="s">
        <v>1316</v>
      </c>
      <c r="C51" s="446" t="s">
        <v>1328</v>
      </c>
    </row>
    <row r="52" spans="1:3">
      <c r="A52" s="453">
        <f>COUNT(A40:A51)</f>
        <v>12</v>
      </c>
    </row>
  </sheetData>
  <mergeCells count="66">
    <mergeCell ref="UD3:UL3"/>
    <mergeCell ref="UM3:UN3"/>
    <mergeCell ref="UO3:UX3"/>
    <mergeCell ref="UY3:UZ3"/>
    <mergeCell ref="VC3:VE3"/>
    <mergeCell ref="SN3:SV3"/>
    <mergeCell ref="SW3:TE3"/>
    <mergeCell ref="TI3:TJ3"/>
    <mergeCell ref="TK3:TT3"/>
    <mergeCell ref="TU3:UC3"/>
    <mergeCell ref="QU3:RC3"/>
    <mergeCell ref="RD3:RL3"/>
    <mergeCell ref="RM3:RU3"/>
    <mergeCell ref="RV3:SD3"/>
    <mergeCell ref="SE3:SM3"/>
    <mergeCell ref="PB3:PJ3"/>
    <mergeCell ref="PK3:PS3"/>
    <mergeCell ref="PT3:QB3"/>
    <mergeCell ref="QC3:QK3"/>
    <mergeCell ref="QL3:QT3"/>
    <mergeCell ref="NI3:NQ3"/>
    <mergeCell ref="NR3:NZ3"/>
    <mergeCell ref="OA3:OI3"/>
    <mergeCell ref="OJ3:OR3"/>
    <mergeCell ref="OS3:PA3"/>
    <mergeCell ref="LP3:LX3"/>
    <mergeCell ref="LY3:MG3"/>
    <mergeCell ref="MH3:MP3"/>
    <mergeCell ref="MQ3:MY3"/>
    <mergeCell ref="MZ3:NH3"/>
    <mergeCell ref="JW3:KE3"/>
    <mergeCell ref="KF3:KN3"/>
    <mergeCell ref="KO3:KW3"/>
    <mergeCell ref="KX3:LF3"/>
    <mergeCell ref="LG3:LO3"/>
    <mergeCell ref="ID3:IL3"/>
    <mergeCell ref="IM3:IU3"/>
    <mergeCell ref="IV3:JD3"/>
    <mergeCell ref="JE3:JM3"/>
    <mergeCell ref="JN3:JV3"/>
    <mergeCell ref="GK3:GS3"/>
    <mergeCell ref="GT3:HB3"/>
    <mergeCell ref="HC3:HK3"/>
    <mergeCell ref="HL3:HT3"/>
    <mergeCell ref="HU3:IC3"/>
    <mergeCell ref="ER3:EZ3"/>
    <mergeCell ref="FA3:FI3"/>
    <mergeCell ref="FJ3:FR3"/>
    <mergeCell ref="FS3:GA3"/>
    <mergeCell ref="GB3:GJ3"/>
    <mergeCell ref="CY3:DG3"/>
    <mergeCell ref="DH3:DP3"/>
    <mergeCell ref="DQ3:DY3"/>
    <mergeCell ref="DZ3:EH3"/>
    <mergeCell ref="EI3:EQ3"/>
    <mergeCell ref="BF3:BN3"/>
    <mergeCell ref="BO3:BW3"/>
    <mergeCell ref="BX3:CF3"/>
    <mergeCell ref="CG3:CO3"/>
    <mergeCell ref="CP3:CX3"/>
    <mergeCell ref="AW3:BE3"/>
    <mergeCell ref="B1:F1"/>
    <mergeCell ref="M3:U3"/>
    <mergeCell ref="V3:AD3"/>
    <mergeCell ref="AE3:AM3"/>
    <mergeCell ref="AN3:AV3"/>
  </mergeCells>
  <hyperlinks>
    <hyperlink ref="J1" location="Index!A1" display="Return to Index"/>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0"/>
  <sheetViews>
    <sheetView showGridLines="0" zoomScale="90" zoomScaleNormal="90" workbookViewId="0">
      <pane xSplit="3" ySplit="4" topLeftCell="D45" activePane="bottomRight" state="frozen"/>
      <selection activeCell="C36" sqref="C36"/>
      <selection pane="topRight" activeCell="C36" sqref="C36"/>
      <selection pane="bottomLeft" activeCell="C36" sqref="C36"/>
      <selection pane="bottomRight" activeCell="N30" sqref="N30"/>
    </sheetView>
  </sheetViews>
  <sheetFormatPr defaultColWidth="12.5703125" defaultRowHeight="12.75" outlineLevelRow="1"/>
  <cols>
    <col min="1" max="1" width="9.42578125" style="498" customWidth="1"/>
    <col min="2" max="2" width="53" style="814" customWidth="1"/>
    <col min="3" max="3" width="12" style="506" customWidth="1"/>
    <col min="4" max="4" width="10.5703125" style="502" customWidth="1"/>
    <col min="5" max="5" width="10.140625" style="502" customWidth="1"/>
    <col min="6" max="6" width="12" style="502" customWidth="1"/>
    <col min="7" max="7" width="10.7109375" style="502" customWidth="1"/>
    <col min="8" max="8" width="14" style="502" customWidth="1"/>
    <col min="9" max="9" width="12.7109375" style="502" customWidth="1"/>
    <col min="10" max="10" width="12.5703125" style="501"/>
    <col min="11" max="11" width="12.140625" style="501" customWidth="1"/>
    <col min="12" max="12" width="10.42578125" style="774" customWidth="1"/>
    <col min="13" max="13" width="11.5703125" style="761" customWidth="1"/>
    <col min="14" max="14" width="10.42578125" style="761" customWidth="1"/>
    <col min="15" max="15" width="13.5703125" style="761" customWidth="1"/>
    <col min="16" max="16" width="9.140625" style="761"/>
    <col min="17" max="17" width="10.28515625" style="506" customWidth="1"/>
    <col min="18" max="18" width="10" style="506" customWidth="1"/>
    <col min="19" max="19" width="9.85546875" style="506" customWidth="1"/>
    <col min="20" max="260" width="12.5703125" style="506" customWidth="1"/>
    <col min="261" max="269" width="12.5703125" style="506"/>
    <col min="270" max="270" width="37.28515625" style="506" customWidth="1"/>
    <col min="271" max="273" width="9.140625" style="506" customWidth="1"/>
    <col min="274" max="274" width="10.7109375" style="506" customWidth="1"/>
    <col min="275" max="276" width="12.7109375" style="506" customWidth="1"/>
    <col min="277" max="516" width="12.5703125" style="506" customWidth="1"/>
    <col min="517" max="525" width="12.5703125" style="506"/>
    <col min="526" max="526" width="37.28515625" style="506" customWidth="1"/>
    <col min="527" max="529" width="9.140625" style="506" customWidth="1"/>
    <col min="530" max="530" width="10.7109375" style="506" customWidth="1"/>
    <col min="531" max="532" width="12.7109375" style="506" customWidth="1"/>
    <col min="533" max="772" width="12.5703125" style="506" customWidth="1"/>
    <col min="773" max="781" width="12.5703125" style="506"/>
    <col min="782" max="782" width="37.28515625" style="506" customWidth="1"/>
    <col min="783" max="785" width="9.140625" style="506" customWidth="1"/>
    <col min="786" max="786" width="10.7109375" style="506" customWidth="1"/>
    <col min="787" max="788" width="12.7109375" style="506" customWidth="1"/>
    <col min="789" max="1028" width="12.5703125" style="506" customWidth="1"/>
    <col min="1029" max="1037" width="12.5703125" style="506"/>
    <col min="1038" max="1038" width="37.28515625" style="506" customWidth="1"/>
    <col min="1039" max="1041" width="9.140625" style="506" customWidth="1"/>
    <col min="1042" max="1042" width="10.7109375" style="506" customWidth="1"/>
    <col min="1043" max="1044" width="12.7109375" style="506" customWidth="1"/>
    <col min="1045" max="1284" width="12.5703125" style="506" customWidth="1"/>
    <col min="1285" max="1293" width="12.5703125" style="506"/>
    <col min="1294" max="1294" width="37.28515625" style="506" customWidth="1"/>
    <col min="1295" max="1297" width="9.140625" style="506" customWidth="1"/>
    <col min="1298" max="1298" width="10.7109375" style="506" customWidth="1"/>
    <col min="1299" max="1300" width="12.7109375" style="506" customWidth="1"/>
    <col min="1301" max="1540" width="12.5703125" style="506" customWidth="1"/>
    <col min="1541" max="1549" width="12.5703125" style="506"/>
    <col min="1550" max="1550" width="37.28515625" style="506" customWidth="1"/>
    <col min="1551" max="1553" width="9.140625" style="506" customWidth="1"/>
    <col min="1554" max="1554" width="10.7109375" style="506" customWidth="1"/>
    <col min="1555" max="1556" width="12.7109375" style="506" customWidth="1"/>
    <col min="1557" max="1796" width="12.5703125" style="506" customWidth="1"/>
    <col min="1797" max="1805" width="12.5703125" style="506"/>
    <col min="1806" max="1806" width="37.28515625" style="506" customWidth="1"/>
    <col min="1807" max="1809" width="9.140625" style="506" customWidth="1"/>
    <col min="1810" max="1810" width="10.7109375" style="506" customWidth="1"/>
    <col min="1811" max="1812" width="12.7109375" style="506" customWidth="1"/>
    <col min="1813" max="2052" width="12.5703125" style="506" customWidth="1"/>
    <col min="2053" max="2061" width="12.5703125" style="506"/>
    <col min="2062" max="2062" width="37.28515625" style="506" customWidth="1"/>
    <col min="2063" max="2065" width="9.140625" style="506" customWidth="1"/>
    <col min="2066" max="2066" width="10.7109375" style="506" customWidth="1"/>
    <col min="2067" max="2068" width="12.7109375" style="506" customWidth="1"/>
    <col min="2069" max="2308" width="12.5703125" style="506" customWidth="1"/>
    <col min="2309" max="2317" width="12.5703125" style="506"/>
    <col min="2318" max="2318" width="37.28515625" style="506" customWidth="1"/>
    <col min="2319" max="2321" width="9.140625" style="506" customWidth="1"/>
    <col min="2322" max="2322" width="10.7109375" style="506" customWidth="1"/>
    <col min="2323" max="2324" width="12.7109375" style="506" customWidth="1"/>
    <col min="2325" max="2564" width="12.5703125" style="506" customWidth="1"/>
    <col min="2565" max="2573" width="12.5703125" style="506"/>
    <col min="2574" max="2574" width="37.28515625" style="506" customWidth="1"/>
    <col min="2575" max="2577" width="9.140625" style="506" customWidth="1"/>
    <col min="2578" max="2578" width="10.7109375" style="506" customWidth="1"/>
    <col min="2579" max="2580" width="12.7109375" style="506" customWidth="1"/>
    <col min="2581" max="2820" width="12.5703125" style="506" customWidth="1"/>
    <col min="2821" max="2829" width="12.5703125" style="506"/>
    <col min="2830" max="2830" width="37.28515625" style="506" customWidth="1"/>
    <col min="2831" max="2833" width="9.140625" style="506" customWidth="1"/>
    <col min="2834" max="2834" width="10.7109375" style="506" customWidth="1"/>
    <col min="2835" max="2836" width="12.7109375" style="506" customWidth="1"/>
    <col min="2837" max="3076" width="12.5703125" style="506" customWidth="1"/>
    <col min="3077" max="3085" width="12.5703125" style="506"/>
    <col min="3086" max="3086" width="37.28515625" style="506" customWidth="1"/>
    <col min="3087" max="3089" width="9.140625" style="506" customWidth="1"/>
    <col min="3090" max="3090" width="10.7109375" style="506" customWidth="1"/>
    <col min="3091" max="3092" width="12.7109375" style="506" customWidth="1"/>
    <col min="3093" max="3332" width="12.5703125" style="506" customWidth="1"/>
    <col min="3333" max="3341" width="12.5703125" style="506"/>
    <col min="3342" max="3342" width="37.28515625" style="506" customWidth="1"/>
    <col min="3343" max="3345" width="9.140625" style="506" customWidth="1"/>
    <col min="3346" max="3346" width="10.7109375" style="506" customWidth="1"/>
    <col min="3347" max="3348" width="12.7109375" style="506" customWidth="1"/>
    <col min="3349" max="3588" width="12.5703125" style="506" customWidth="1"/>
    <col min="3589" max="3597" width="12.5703125" style="506"/>
    <col min="3598" max="3598" width="37.28515625" style="506" customWidth="1"/>
    <col min="3599" max="3601" width="9.140625" style="506" customWidth="1"/>
    <col min="3602" max="3602" width="10.7109375" style="506" customWidth="1"/>
    <col min="3603" max="3604" width="12.7109375" style="506" customWidth="1"/>
    <col min="3605" max="3844" width="12.5703125" style="506" customWidth="1"/>
    <col min="3845" max="3853" width="12.5703125" style="506"/>
    <col min="3854" max="3854" width="37.28515625" style="506" customWidth="1"/>
    <col min="3855" max="3857" width="9.140625" style="506" customWidth="1"/>
    <col min="3858" max="3858" width="10.7109375" style="506" customWidth="1"/>
    <col min="3859" max="3860" width="12.7109375" style="506" customWidth="1"/>
    <col min="3861" max="4100" width="12.5703125" style="506" customWidth="1"/>
    <col min="4101" max="4109" width="12.5703125" style="506"/>
    <col min="4110" max="4110" width="37.28515625" style="506" customWidth="1"/>
    <col min="4111" max="4113" width="9.140625" style="506" customWidth="1"/>
    <col min="4114" max="4114" width="10.7109375" style="506" customWidth="1"/>
    <col min="4115" max="4116" width="12.7109375" style="506" customWidth="1"/>
    <col min="4117" max="4356" width="12.5703125" style="506" customWidth="1"/>
    <col min="4357" max="4365" width="12.5703125" style="506"/>
    <col min="4366" max="4366" width="37.28515625" style="506" customWidth="1"/>
    <col min="4367" max="4369" width="9.140625" style="506" customWidth="1"/>
    <col min="4370" max="4370" width="10.7109375" style="506" customWidth="1"/>
    <col min="4371" max="4372" width="12.7109375" style="506" customWidth="1"/>
    <col min="4373" max="4612" width="12.5703125" style="506" customWidth="1"/>
    <col min="4613" max="4621" width="12.5703125" style="506"/>
    <col min="4622" max="4622" width="37.28515625" style="506" customWidth="1"/>
    <col min="4623" max="4625" width="9.140625" style="506" customWidth="1"/>
    <col min="4626" max="4626" width="10.7109375" style="506" customWidth="1"/>
    <col min="4627" max="4628" width="12.7109375" style="506" customWidth="1"/>
    <col min="4629" max="4868" width="12.5703125" style="506" customWidth="1"/>
    <col min="4869" max="4877" width="12.5703125" style="506"/>
    <col min="4878" max="4878" width="37.28515625" style="506" customWidth="1"/>
    <col min="4879" max="4881" width="9.140625" style="506" customWidth="1"/>
    <col min="4882" max="4882" width="10.7109375" style="506" customWidth="1"/>
    <col min="4883" max="4884" width="12.7109375" style="506" customWidth="1"/>
    <col min="4885" max="5124" width="12.5703125" style="506" customWidth="1"/>
    <col min="5125" max="5133" width="12.5703125" style="506"/>
    <col min="5134" max="5134" width="37.28515625" style="506" customWidth="1"/>
    <col min="5135" max="5137" width="9.140625" style="506" customWidth="1"/>
    <col min="5138" max="5138" width="10.7109375" style="506" customWidth="1"/>
    <col min="5139" max="5140" width="12.7109375" style="506" customWidth="1"/>
    <col min="5141" max="5380" width="12.5703125" style="506" customWidth="1"/>
    <col min="5381" max="5389" width="12.5703125" style="506"/>
    <col min="5390" max="5390" width="37.28515625" style="506" customWidth="1"/>
    <col min="5391" max="5393" width="9.140625" style="506" customWidth="1"/>
    <col min="5394" max="5394" width="10.7109375" style="506" customWidth="1"/>
    <col min="5395" max="5396" width="12.7109375" style="506" customWidth="1"/>
    <col min="5397" max="5636" width="12.5703125" style="506" customWidth="1"/>
    <col min="5637" max="5645" width="12.5703125" style="506"/>
    <col min="5646" max="5646" width="37.28515625" style="506" customWidth="1"/>
    <col min="5647" max="5649" width="9.140625" style="506" customWidth="1"/>
    <col min="5650" max="5650" width="10.7109375" style="506" customWidth="1"/>
    <col min="5651" max="5652" width="12.7109375" style="506" customWidth="1"/>
    <col min="5653" max="5892" width="12.5703125" style="506" customWidth="1"/>
    <col min="5893" max="5901" width="12.5703125" style="506"/>
    <col min="5902" max="5902" width="37.28515625" style="506" customWidth="1"/>
    <col min="5903" max="5905" width="9.140625" style="506" customWidth="1"/>
    <col min="5906" max="5906" width="10.7109375" style="506" customWidth="1"/>
    <col min="5907" max="5908" width="12.7109375" style="506" customWidth="1"/>
    <col min="5909" max="6148" width="12.5703125" style="506" customWidth="1"/>
    <col min="6149" max="6157" width="12.5703125" style="506"/>
    <col min="6158" max="6158" width="37.28515625" style="506" customWidth="1"/>
    <col min="6159" max="6161" width="9.140625" style="506" customWidth="1"/>
    <col min="6162" max="6162" width="10.7109375" style="506" customWidth="1"/>
    <col min="6163" max="6164" width="12.7109375" style="506" customWidth="1"/>
    <col min="6165" max="6404" width="12.5703125" style="506" customWidth="1"/>
    <col min="6405" max="6413" width="12.5703125" style="506"/>
    <col min="6414" max="6414" width="37.28515625" style="506" customWidth="1"/>
    <col min="6415" max="6417" width="9.140625" style="506" customWidth="1"/>
    <col min="6418" max="6418" width="10.7109375" style="506" customWidth="1"/>
    <col min="6419" max="6420" width="12.7109375" style="506" customWidth="1"/>
    <col min="6421" max="6660" width="12.5703125" style="506" customWidth="1"/>
    <col min="6661" max="6669" width="12.5703125" style="506"/>
    <col min="6670" max="6670" width="37.28515625" style="506" customWidth="1"/>
    <col min="6671" max="6673" width="9.140625" style="506" customWidth="1"/>
    <col min="6674" max="6674" width="10.7109375" style="506" customWidth="1"/>
    <col min="6675" max="6676" width="12.7109375" style="506" customWidth="1"/>
    <col min="6677" max="6916" width="12.5703125" style="506" customWidth="1"/>
    <col min="6917" max="6925" width="12.5703125" style="506"/>
    <col min="6926" max="6926" width="37.28515625" style="506" customWidth="1"/>
    <col min="6927" max="6929" width="9.140625" style="506" customWidth="1"/>
    <col min="6930" max="6930" width="10.7109375" style="506" customWidth="1"/>
    <col min="6931" max="6932" width="12.7109375" style="506" customWidth="1"/>
    <col min="6933" max="7172" width="12.5703125" style="506" customWidth="1"/>
    <col min="7173" max="7181" width="12.5703125" style="506"/>
    <col min="7182" max="7182" width="37.28515625" style="506" customWidth="1"/>
    <col min="7183" max="7185" width="9.140625" style="506" customWidth="1"/>
    <col min="7186" max="7186" width="10.7109375" style="506" customWidth="1"/>
    <col min="7187" max="7188" width="12.7109375" style="506" customWidth="1"/>
    <col min="7189" max="7428" width="12.5703125" style="506" customWidth="1"/>
    <col min="7429" max="7437" width="12.5703125" style="506"/>
    <col min="7438" max="7438" width="37.28515625" style="506" customWidth="1"/>
    <col min="7439" max="7441" width="9.140625" style="506" customWidth="1"/>
    <col min="7442" max="7442" width="10.7109375" style="506" customWidth="1"/>
    <col min="7443" max="7444" width="12.7109375" style="506" customWidth="1"/>
    <col min="7445" max="7684" width="12.5703125" style="506" customWidth="1"/>
    <col min="7685" max="7693" width="12.5703125" style="506"/>
    <col min="7694" max="7694" width="37.28515625" style="506" customWidth="1"/>
    <col min="7695" max="7697" width="9.140625" style="506" customWidth="1"/>
    <col min="7698" max="7698" width="10.7109375" style="506" customWidth="1"/>
    <col min="7699" max="7700" width="12.7109375" style="506" customWidth="1"/>
    <col min="7701" max="7940" width="12.5703125" style="506" customWidth="1"/>
    <col min="7941" max="7949" width="12.5703125" style="506"/>
    <col min="7950" max="7950" width="37.28515625" style="506" customWidth="1"/>
    <col min="7951" max="7953" width="9.140625" style="506" customWidth="1"/>
    <col min="7954" max="7954" width="10.7109375" style="506" customWidth="1"/>
    <col min="7955" max="7956" width="12.7109375" style="506" customWidth="1"/>
    <col min="7957" max="8196" width="12.5703125" style="506" customWidth="1"/>
    <col min="8197" max="8205" width="12.5703125" style="506"/>
    <col min="8206" max="8206" width="37.28515625" style="506" customWidth="1"/>
    <col min="8207" max="8209" width="9.140625" style="506" customWidth="1"/>
    <col min="8210" max="8210" width="10.7109375" style="506" customWidth="1"/>
    <col min="8211" max="8212" width="12.7109375" style="506" customWidth="1"/>
    <col min="8213" max="8452" width="12.5703125" style="506" customWidth="1"/>
    <col min="8453" max="8461" width="12.5703125" style="506"/>
    <col min="8462" max="8462" width="37.28515625" style="506" customWidth="1"/>
    <col min="8463" max="8465" width="9.140625" style="506" customWidth="1"/>
    <col min="8466" max="8466" width="10.7109375" style="506" customWidth="1"/>
    <col min="8467" max="8468" width="12.7109375" style="506" customWidth="1"/>
    <col min="8469" max="8708" width="12.5703125" style="506" customWidth="1"/>
    <col min="8709" max="8717" width="12.5703125" style="506"/>
    <col min="8718" max="8718" width="37.28515625" style="506" customWidth="1"/>
    <col min="8719" max="8721" width="9.140625" style="506" customWidth="1"/>
    <col min="8722" max="8722" width="10.7109375" style="506" customWidth="1"/>
    <col min="8723" max="8724" width="12.7109375" style="506" customWidth="1"/>
    <col min="8725" max="8964" width="12.5703125" style="506" customWidth="1"/>
    <col min="8965" max="8973" width="12.5703125" style="506"/>
    <col min="8974" max="8974" width="37.28515625" style="506" customWidth="1"/>
    <col min="8975" max="8977" width="9.140625" style="506" customWidth="1"/>
    <col min="8978" max="8978" width="10.7109375" style="506" customWidth="1"/>
    <col min="8979" max="8980" width="12.7109375" style="506" customWidth="1"/>
    <col min="8981" max="9220" width="12.5703125" style="506" customWidth="1"/>
    <col min="9221" max="9229" width="12.5703125" style="506"/>
    <col min="9230" max="9230" width="37.28515625" style="506" customWidth="1"/>
    <col min="9231" max="9233" width="9.140625" style="506" customWidth="1"/>
    <col min="9234" max="9234" width="10.7109375" style="506" customWidth="1"/>
    <col min="9235" max="9236" width="12.7109375" style="506" customWidth="1"/>
    <col min="9237" max="9476" width="12.5703125" style="506" customWidth="1"/>
    <col min="9477" max="9485" width="12.5703125" style="506"/>
    <col min="9486" max="9486" width="37.28515625" style="506" customWidth="1"/>
    <col min="9487" max="9489" width="9.140625" style="506" customWidth="1"/>
    <col min="9490" max="9490" width="10.7109375" style="506" customWidth="1"/>
    <col min="9491" max="9492" width="12.7109375" style="506" customWidth="1"/>
    <col min="9493" max="9732" width="12.5703125" style="506" customWidth="1"/>
    <col min="9733" max="9741" width="12.5703125" style="506"/>
    <col min="9742" max="9742" width="37.28515625" style="506" customWidth="1"/>
    <col min="9743" max="9745" width="9.140625" style="506" customWidth="1"/>
    <col min="9746" max="9746" width="10.7109375" style="506" customWidth="1"/>
    <col min="9747" max="9748" width="12.7109375" style="506" customWidth="1"/>
    <col min="9749" max="9988" width="12.5703125" style="506" customWidth="1"/>
    <col min="9989" max="9997" width="12.5703125" style="506"/>
    <col min="9998" max="9998" width="37.28515625" style="506" customWidth="1"/>
    <col min="9999" max="10001" width="9.140625" style="506" customWidth="1"/>
    <col min="10002" max="10002" width="10.7109375" style="506" customWidth="1"/>
    <col min="10003" max="10004" width="12.7109375" style="506" customWidth="1"/>
    <col min="10005" max="10244" width="12.5703125" style="506" customWidth="1"/>
    <col min="10245" max="10253" width="12.5703125" style="506"/>
    <col min="10254" max="10254" width="37.28515625" style="506" customWidth="1"/>
    <col min="10255" max="10257" width="9.140625" style="506" customWidth="1"/>
    <col min="10258" max="10258" width="10.7109375" style="506" customWidth="1"/>
    <col min="10259" max="10260" width="12.7109375" style="506" customWidth="1"/>
    <col min="10261" max="10500" width="12.5703125" style="506" customWidth="1"/>
    <col min="10501" max="10509" width="12.5703125" style="506"/>
    <col min="10510" max="10510" width="37.28515625" style="506" customWidth="1"/>
    <col min="10511" max="10513" width="9.140625" style="506" customWidth="1"/>
    <col min="10514" max="10514" width="10.7109375" style="506" customWidth="1"/>
    <col min="10515" max="10516" width="12.7109375" style="506" customWidth="1"/>
    <col min="10517" max="10756" width="12.5703125" style="506" customWidth="1"/>
    <col min="10757" max="10765" width="12.5703125" style="506"/>
    <col min="10766" max="10766" width="37.28515625" style="506" customWidth="1"/>
    <col min="10767" max="10769" width="9.140625" style="506" customWidth="1"/>
    <col min="10770" max="10770" width="10.7109375" style="506" customWidth="1"/>
    <col min="10771" max="10772" width="12.7109375" style="506" customWidth="1"/>
    <col min="10773" max="11012" width="12.5703125" style="506" customWidth="1"/>
    <col min="11013" max="11021" width="12.5703125" style="506"/>
    <col min="11022" max="11022" width="37.28515625" style="506" customWidth="1"/>
    <col min="11023" max="11025" width="9.140625" style="506" customWidth="1"/>
    <col min="11026" max="11026" width="10.7109375" style="506" customWidth="1"/>
    <col min="11027" max="11028" width="12.7109375" style="506" customWidth="1"/>
    <col min="11029" max="11268" width="12.5703125" style="506" customWidth="1"/>
    <col min="11269" max="11277" width="12.5703125" style="506"/>
    <col min="11278" max="11278" width="37.28515625" style="506" customWidth="1"/>
    <col min="11279" max="11281" width="9.140625" style="506" customWidth="1"/>
    <col min="11282" max="11282" width="10.7109375" style="506" customWidth="1"/>
    <col min="11283" max="11284" width="12.7109375" style="506" customWidth="1"/>
    <col min="11285" max="11524" width="12.5703125" style="506" customWidth="1"/>
    <col min="11525" max="11533" width="12.5703125" style="506"/>
    <col min="11534" max="11534" width="37.28515625" style="506" customWidth="1"/>
    <col min="11535" max="11537" width="9.140625" style="506" customWidth="1"/>
    <col min="11538" max="11538" width="10.7109375" style="506" customWidth="1"/>
    <col min="11539" max="11540" width="12.7109375" style="506" customWidth="1"/>
    <col min="11541" max="11780" width="12.5703125" style="506" customWidth="1"/>
    <col min="11781" max="11789" width="12.5703125" style="506"/>
    <col min="11790" max="11790" width="37.28515625" style="506" customWidth="1"/>
    <col min="11791" max="11793" width="9.140625" style="506" customWidth="1"/>
    <col min="11794" max="11794" width="10.7109375" style="506" customWidth="1"/>
    <col min="11795" max="11796" width="12.7109375" style="506" customWidth="1"/>
    <col min="11797" max="12036" width="12.5703125" style="506" customWidth="1"/>
    <col min="12037" max="12045" width="12.5703125" style="506"/>
    <col min="12046" max="12046" width="37.28515625" style="506" customWidth="1"/>
    <col min="12047" max="12049" width="9.140625" style="506" customWidth="1"/>
    <col min="12050" max="12050" width="10.7109375" style="506" customWidth="1"/>
    <col min="12051" max="12052" width="12.7109375" style="506" customWidth="1"/>
    <col min="12053" max="12292" width="12.5703125" style="506" customWidth="1"/>
    <col min="12293" max="12301" width="12.5703125" style="506"/>
    <col min="12302" max="12302" width="37.28515625" style="506" customWidth="1"/>
    <col min="12303" max="12305" width="9.140625" style="506" customWidth="1"/>
    <col min="12306" max="12306" width="10.7109375" style="506" customWidth="1"/>
    <col min="12307" max="12308" width="12.7109375" style="506" customWidth="1"/>
    <col min="12309" max="12548" width="12.5703125" style="506" customWidth="1"/>
    <col min="12549" max="12557" width="12.5703125" style="506"/>
    <col min="12558" max="12558" width="37.28515625" style="506" customWidth="1"/>
    <col min="12559" max="12561" width="9.140625" style="506" customWidth="1"/>
    <col min="12562" max="12562" width="10.7109375" style="506" customWidth="1"/>
    <col min="12563" max="12564" width="12.7109375" style="506" customWidth="1"/>
    <col min="12565" max="12804" width="12.5703125" style="506" customWidth="1"/>
    <col min="12805" max="12813" width="12.5703125" style="506"/>
    <col min="12814" max="12814" width="37.28515625" style="506" customWidth="1"/>
    <col min="12815" max="12817" width="9.140625" style="506" customWidth="1"/>
    <col min="12818" max="12818" width="10.7109375" style="506" customWidth="1"/>
    <col min="12819" max="12820" width="12.7109375" style="506" customWidth="1"/>
    <col min="12821" max="13060" width="12.5703125" style="506" customWidth="1"/>
    <col min="13061" max="13069" width="12.5703125" style="506"/>
    <col min="13070" max="13070" width="37.28515625" style="506" customWidth="1"/>
    <col min="13071" max="13073" width="9.140625" style="506" customWidth="1"/>
    <col min="13074" max="13074" width="10.7109375" style="506" customWidth="1"/>
    <col min="13075" max="13076" width="12.7109375" style="506" customWidth="1"/>
    <col min="13077" max="13316" width="12.5703125" style="506" customWidth="1"/>
    <col min="13317" max="13325" width="12.5703125" style="506"/>
    <col min="13326" max="13326" width="37.28515625" style="506" customWidth="1"/>
    <col min="13327" max="13329" width="9.140625" style="506" customWidth="1"/>
    <col min="13330" max="13330" width="10.7109375" style="506" customWidth="1"/>
    <col min="13331" max="13332" width="12.7109375" style="506" customWidth="1"/>
    <col min="13333" max="13572" width="12.5703125" style="506" customWidth="1"/>
    <col min="13573" max="13581" width="12.5703125" style="506"/>
    <col min="13582" max="13582" width="37.28515625" style="506" customWidth="1"/>
    <col min="13583" max="13585" width="9.140625" style="506" customWidth="1"/>
    <col min="13586" max="13586" width="10.7109375" style="506" customWidth="1"/>
    <col min="13587" max="13588" width="12.7109375" style="506" customWidth="1"/>
    <col min="13589" max="13828" width="12.5703125" style="506" customWidth="1"/>
    <col min="13829" max="13837" width="12.5703125" style="506"/>
    <col min="13838" max="13838" width="37.28515625" style="506" customWidth="1"/>
    <col min="13839" max="13841" width="9.140625" style="506" customWidth="1"/>
    <col min="13842" max="13842" width="10.7109375" style="506" customWidth="1"/>
    <col min="13843" max="13844" width="12.7109375" style="506" customWidth="1"/>
    <col min="13845" max="14084" width="12.5703125" style="506" customWidth="1"/>
    <col min="14085" max="14093" width="12.5703125" style="506"/>
    <col min="14094" max="14094" width="37.28515625" style="506" customWidth="1"/>
    <col min="14095" max="14097" width="9.140625" style="506" customWidth="1"/>
    <col min="14098" max="14098" width="10.7109375" style="506" customWidth="1"/>
    <col min="14099" max="14100" width="12.7109375" style="506" customWidth="1"/>
    <col min="14101" max="14340" width="12.5703125" style="506" customWidth="1"/>
    <col min="14341" max="14349" width="12.5703125" style="506"/>
    <col min="14350" max="14350" width="37.28515625" style="506" customWidth="1"/>
    <col min="14351" max="14353" width="9.140625" style="506" customWidth="1"/>
    <col min="14354" max="14354" width="10.7109375" style="506" customWidth="1"/>
    <col min="14355" max="14356" width="12.7109375" style="506" customWidth="1"/>
    <col min="14357" max="14596" width="12.5703125" style="506" customWidth="1"/>
    <col min="14597" max="14605" width="12.5703125" style="506"/>
    <col min="14606" max="14606" width="37.28515625" style="506" customWidth="1"/>
    <col min="14607" max="14609" width="9.140625" style="506" customWidth="1"/>
    <col min="14610" max="14610" width="10.7109375" style="506" customWidth="1"/>
    <col min="14611" max="14612" width="12.7109375" style="506" customWidth="1"/>
    <col min="14613" max="14852" width="12.5703125" style="506" customWidth="1"/>
    <col min="14853" max="14861" width="12.5703125" style="506"/>
    <col min="14862" max="14862" width="37.28515625" style="506" customWidth="1"/>
    <col min="14863" max="14865" width="9.140625" style="506" customWidth="1"/>
    <col min="14866" max="14866" width="10.7109375" style="506" customWidth="1"/>
    <col min="14867" max="14868" width="12.7109375" style="506" customWidth="1"/>
    <col min="14869" max="15108" width="12.5703125" style="506" customWidth="1"/>
    <col min="15109" max="15117" width="12.5703125" style="506"/>
    <col min="15118" max="15118" width="37.28515625" style="506" customWidth="1"/>
    <col min="15119" max="15121" width="9.140625" style="506" customWidth="1"/>
    <col min="15122" max="15122" width="10.7109375" style="506" customWidth="1"/>
    <col min="15123" max="15124" width="12.7109375" style="506" customWidth="1"/>
    <col min="15125" max="15364" width="12.5703125" style="506" customWidth="1"/>
    <col min="15365" max="15373" width="12.5703125" style="506"/>
    <col min="15374" max="15374" width="37.28515625" style="506" customWidth="1"/>
    <col min="15375" max="15377" width="9.140625" style="506" customWidth="1"/>
    <col min="15378" max="15378" width="10.7109375" style="506" customWidth="1"/>
    <col min="15379" max="15380" width="12.7109375" style="506" customWidth="1"/>
    <col min="15381" max="15620" width="12.5703125" style="506" customWidth="1"/>
    <col min="15621" max="15629" width="12.5703125" style="506"/>
    <col min="15630" max="15630" width="37.28515625" style="506" customWidth="1"/>
    <col min="15631" max="15633" width="9.140625" style="506" customWidth="1"/>
    <col min="15634" max="15634" width="10.7109375" style="506" customWidth="1"/>
    <col min="15635" max="15636" width="12.7109375" style="506" customWidth="1"/>
    <col min="15637" max="15876" width="12.5703125" style="506" customWidth="1"/>
    <col min="15877" max="15885" width="12.5703125" style="506"/>
    <col min="15886" max="15886" width="37.28515625" style="506" customWidth="1"/>
    <col min="15887" max="15889" width="9.140625" style="506" customWidth="1"/>
    <col min="15890" max="15890" width="10.7109375" style="506" customWidth="1"/>
    <col min="15891" max="15892" width="12.7109375" style="506" customWidth="1"/>
    <col min="15893" max="16132" width="12.5703125" style="506" customWidth="1"/>
    <col min="16133" max="16141" width="12.5703125" style="506"/>
    <col min="16142" max="16142" width="37.28515625" style="506" customWidth="1"/>
    <col min="16143" max="16145" width="9.140625" style="506" customWidth="1"/>
    <col min="16146" max="16146" width="10.7109375" style="506" customWidth="1"/>
    <col min="16147" max="16148" width="12.7109375" style="506" customWidth="1"/>
    <col min="16149" max="16383" width="12.5703125" style="506" customWidth="1"/>
    <col min="16384" max="16384" width="12.5703125" style="506"/>
  </cols>
  <sheetData>
    <row r="1" spans="1:19" s="294" customFormat="1" ht="15">
      <c r="A1" s="498"/>
      <c r="B1" s="498"/>
      <c r="C1" s="818" t="s">
        <v>619</v>
      </c>
      <c r="D1" s="818"/>
      <c r="E1" s="818"/>
      <c r="F1" s="818"/>
      <c r="G1" s="818"/>
      <c r="H1" s="818"/>
      <c r="I1" s="818"/>
      <c r="J1" s="737" t="s">
        <v>1123</v>
      </c>
      <c r="M1" s="759"/>
      <c r="O1" s="499"/>
      <c r="P1" s="499"/>
      <c r="Q1" s="499"/>
      <c r="R1" s="499"/>
      <c r="S1" s="499"/>
    </row>
    <row r="2" spans="1:19" s="294" customFormat="1" ht="15">
      <c r="A2" s="498"/>
      <c r="B2" s="498"/>
      <c r="C2" s="818" t="s">
        <v>1586</v>
      </c>
      <c r="D2" s="818"/>
      <c r="E2" s="818"/>
      <c r="F2" s="818"/>
      <c r="G2" s="818"/>
      <c r="H2" s="818"/>
      <c r="I2" s="818"/>
      <c r="J2" s="1096" t="s">
        <v>1229</v>
      </c>
      <c r="K2" s="767" t="s">
        <v>1258</v>
      </c>
      <c r="L2" s="768"/>
      <c r="M2" s="768"/>
      <c r="N2" s="769"/>
      <c r="O2" s="499"/>
      <c r="P2" s="499"/>
      <c r="Q2" s="499"/>
      <c r="R2" s="499"/>
      <c r="S2" s="499"/>
    </row>
    <row r="3" spans="1:19" customFormat="1">
      <c r="A3" s="498"/>
      <c r="B3" s="813" t="s">
        <v>1467</v>
      </c>
      <c r="C3" t="s">
        <v>51</v>
      </c>
      <c r="J3" s="500"/>
      <c r="K3" t="s">
        <v>1259</v>
      </c>
      <c r="M3" s="760" t="s">
        <v>1295</v>
      </c>
      <c r="O3" s="371"/>
      <c r="P3" s="371"/>
      <c r="Q3" s="371"/>
      <c r="R3" s="371"/>
      <c r="S3" s="365"/>
    </row>
    <row r="4" spans="1:19" customFormat="1" ht="51.75" customHeight="1">
      <c r="A4" s="1088" t="s">
        <v>107</v>
      </c>
      <c r="B4" s="1088" t="s">
        <v>1425</v>
      </c>
      <c r="C4" s="1085" t="s">
        <v>1426</v>
      </c>
      <c r="D4" s="1085" t="s">
        <v>1427</v>
      </c>
      <c r="E4" s="1085" t="s">
        <v>1428</v>
      </c>
      <c r="F4" s="1085" t="s">
        <v>620</v>
      </c>
      <c r="G4" s="1085" t="s">
        <v>1429</v>
      </c>
      <c r="H4" s="1085" t="s">
        <v>1430</v>
      </c>
      <c r="I4" s="1085" t="s">
        <v>1431</v>
      </c>
      <c r="J4" s="816" t="s">
        <v>1216</v>
      </c>
      <c r="K4" s="770" t="s">
        <v>1157</v>
      </c>
      <c r="L4" s="702"/>
      <c r="M4" s="771"/>
      <c r="N4" s="772"/>
      <c r="O4" s="506"/>
      <c r="P4" s="506"/>
      <c r="Q4" s="506"/>
      <c r="R4" s="506"/>
      <c r="S4" s="506"/>
    </row>
    <row r="5" spans="1:19" customFormat="1" ht="12.75" customHeight="1">
      <c r="A5" s="1086"/>
      <c r="B5" s="1092" t="s">
        <v>1432</v>
      </c>
      <c r="C5" s="1020"/>
      <c r="D5" s="1020"/>
      <c r="E5" s="1020"/>
      <c r="F5" s="1020"/>
      <c r="G5" s="1020"/>
      <c r="H5" s="1020"/>
      <c r="I5" s="1020"/>
      <c r="J5" s="498"/>
      <c r="K5" s="761"/>
      <c r="L5" s="761"/>
      <c r="M5" s="761"/>
      <c r="N5" s="506"/>
      <c r="O5" s="506" t="s">
        <v>1360</v>
      </c>
      <c r="P5" s="506"/>
      <c r="Q5" s="506"/>
      <c r="R5" s="506"/>
    </row>
    <row r="6" spans="1:19" s="501" customFormat="1">
      <c r="A6" s="1089">
        <v>3660</v>
      </c>
      <c r="B6" s="1086" t="s">
        <v>1433</v>
      </c>
      <c r="C6" s="1020">
        <v>0</v>
      </c>
      <c r="D6" s="1020">
        <v>0</v>
      </c>
      <c r="E6" s="1020">
        <v>0</v>
      </c>
      <c r="F6" s="1020">
        <v>0</v>
      </c>
      <c r="G6" s="1020">
        <v>939</v>
      </c>
      <c r="H6" s="1020">
        <v>0</v>
      </c>
      <c r="I6" s="1020">
        <v>939</v>
      </c>
      <c r="J6" s="817">
        <f>ROUND(SUM(($C6/30)+($D6/24)+($E6/18)+$G6+$H6),2)</f>
        <v>939</v>
      </c>
      <c r="L6" s="371"/>
      <c r="M6" s="899"/>
      <c r="N6" s="1014">
        <v>30</v>
      </c>
      <c r="O6" s="1015">
        <v>2228.16</v>
      </c>
      <c r="P6" s="1016" t="s">
        <v>110</v>
      </c>
      <c r="Q6" s="1017"/>
      <c r="R6" s="900"/>
      <c r="S6" s="900"/>
    </row>
    <row r="7" spans="1:19" s="501" customFormat="1">
      <c r="A7" s="1089">
        <v>101</v>
      </c>
      <c r="B7" s="1086" t="s">
        <v>1434</v>
      </c>
      <c r="C7" s="1020">
        <v>0</v>
      </c>
      <c r="D7" s="1087">
        <v>4570</v>
      </c>
      <c r="E7" s="1087">
        <v>9523</v>
      </c>
      <c r="F7" s="1087">
        <v>14093</v>
      </c>
      <c r="G7" s="1020">
        <v>0</v>
      </c>
      <c r="H7" s="1020">
        <v>0</v>
      </c>
      <c r="I7" s="1020">
        <v>719.47</v>
      </c>
      <c r="J7" s="817">
        <f t="shared" ref="J7:J8" si="0">ROUND(SUM(($C7/30)+($D7/24)+($E7/18)+$G7+$H7),2)</f>
        <v>719.47</v>
      </c>
      <c r="L7" s="761"/>
      <c r="M7" s="900"/>
      <c r="N7" s="1014">
        <v>104952</v>
      </c>
      <c r="O7" s="1015">
        <v>1279</v>
      </c>
      <c r="P7" s="1018" t="s">
        <v>125</v>
      </c>
      <c r="Q7" s="1017"/>
      <c r="R7" s="900"/>
      <c r="S7" s="900"/>
    </row>
    <row r="8" spans="1:19" s="501" customFormat="1">
      <c r="A8" s="1089">
        <v>10019</v>
      </c>
      <c r="B8" s="1086" t="s">
        <v>1435</v>
      </c>
      <c r="C8" s="1020">
        <v>0</v>
      </c>
      <c r="D8" s="1087">
        <v>12197</v>
      </c>
      <c r="E8" s="1020">
        <v>0</v>
      </c>
      <c r="F8" s="1087">
        <v>12197</v>
      </c>
      <c r="G8" s="1020">
        <v>0</v>
      </c>
      <c r="H8" s="1020">
        <v>0</v>
      </c>
      <c r="I8" s="1020">
        <v>508.21</v>
      </c>
      <c r="J8" s="817">
        <f t="shared" si="0"/>
        <v>508.21</v>
      </c>
      <c r="K8" s="761"/>
      <c r="L8" s="761"/>
      <c r="M8" s="900"/>
      <c r="N8" s="1014">
        <v>11618</v>
      </c>
      <c r="O8" s="1015">
        <v>1926.48</v>
      </c>
      <c r="P8" s="1016" t="s">
        <v>122</v>
      </c>
      <c r="Q8" s="1017"/>
      <c r="R8" s="900"/>
      <c r="S8" s="900"/>
    </row>
    <row r="9" spans="1:19" s="501" customFormat="1">
      <c r="A9" s="1091">
        <v>30</v>
      </c>
      <c r="B9" s="1092" t="s">
        <v>1432</v>
      </c>
      <c r="C9" s="1020"/>
      <c r="D9" s="1020"/>
      <c r="E9" s="1020"/>
      <c r="F9" s="1020"/>
      <c r="G9" s="1020"/>
      <c r="H9" s="1020"/>
      <c r="I9" s="1022">
        <v>2157.64</v>
      </c>
      <c r="J9" s="1090">
        <f>SUM(J6:J8)</f>
        <v>2166.6799999999998</v>
      </c>
      <c r="K9" s="773">
        <f>VLOOKUP(A9,$N$6:$O$18,2,FALSE)</f>
        <v>2228.16</v>
      </c>
      <c r="L9" s="761"/>
      <c r="M9" s="900"/>
      <c r="N9" s="1014">
        <v>40</v>
      </c>
      <c r="O9" s="1015">
        <v>1342.99</v>
      </c>
      <c r="P9" s="1016" t="s">
        <v>112</v>
      </c>
      <c r="Q9" s="1017"/>
      <c r="R9" s="900"/>
      <c r="S9" s="900"/>
    </row>
    <row r="10" spans="1:19" s="501" customFormat="1">
      <c r="A10" s="1089"/>
      <c r="B10" s="1020"/>
      <c r="C10" s="1020"/>
      <c r="D10" s="1020"/>
      <c r="E10" s="1020"/>
      <c r="F10" s="1020"/>
      <c r="G10" s="1020"/>
      <c r="H10" s="1020"/>
      <c r="I10" s="1020"/>
      <c r="J10" s="503"/>
      <c r="M10" s="901"/>
      <c r="N10" s="1014">
        <v>25554</v>
      </c>
      <c r="O10" s="1015">
        <v>1790.7</v>
      </c>
      <c r="P10" s="1016" t="s">
        <v>124</v>
      </c>
      <c r="Q10" s="1017"/>
      <c r="R10" s="900"/>
      <c r="S10" s="900"/>
    </row>
    <row r="11" spans="1:19" s="501" customFormat="1">
      <c r="A11" s="1089"/>
      <c r="B11" s="1092" t="s">
        <v>1436</v>
      </c>
      <c r="C11" s="1020"/>
      <c r="D11" s="1020"/>
      <c r="E11" s="1020"/>
      <c r="F11" s="1020"/>
      <c r="G11" s="1020"/>
      <c r="H11" s="1020"/>
      <c r="I11" s="1020"/>
      <c r="J11" s="817"/>
      <c r="K11" s="761"/>
      <c r="L11" s="761"/>
      <c r="M11" s="900"/>
      <c r="N11" s="1014">
        <v>42439</v>
      </c>
      <c r="O11" s="1015">
        <v>131.38999999999999</v>
      </c>
      <c r="P11" s="1016" t="s">
        <v>118</v>
      </c>
      <c r="Q11" s="1017"/>
      <c r="R11" s="900"/>
      <c r="S11" s="900"/>
    </row>
    <row r="12" spans="1:19" s="501" customFormat="1">
      <c r="A12" s="1089">
        <v>4952</v>
      </c>
      <c r="B12" s="1086" t="s">
        <v>1437</v>
      </c>
      <c r="C12" s="1020">
        <v>0</v>
      </c>
      <c r="D12" s="1020">
        <v>0</v>
      </c>
      <c r="E12" s="1020">
        <v>0</v>
      </c>
      <c r="F12" s="1020">
        <v>0</v>
      </c>
      <c r="G12" s="1020">
        <v>945</v>
      </c>
      <c r="H12" s="1020">
        <v>0</v>
      </c>
      <c r="I12" s="1020">
        <v>945</v>
      </c>
      <c r="J12" s="817">
        <f t="shared" ref="J12:J17" si="1">ROUND(SUM(($C12/30)+($D12/24)+($E12/18)+$G12+$H12),2)</f>
        <v>945</v>
      </c>
      <c r="K12" s="762"/>
      <c r="L12" s="761"/>
      <c r="M12" s="902"/>
      <c r="N12" s="1014">
        <v>89</v>
      </c>
      <c r="O12" s="1015">
        <v>613.38</v>
      </c>
      <c r="P12" s="1016" t="s">
        <v>114</v>
      </c>
      <c r="Q12" s="1017"/>
      <c r="R12" s="900"/>
      <c r="S12" s="900"/>
    </row>
    <row r="13" spans="1:19" s="501" customFormat="1">
      <c r="A13" s="1089">
        <v>4952</v>
      </c>
      <c r="B13" s="1086" t="s">
        <v>1438</v>
      </c>
      <c r="C13" s="1020"/>
      <c r="D13" s="1020"/>
      <c r="E13" s="1020"/>
      <c r="F13" s="1020"/>
      <c r="G13" s="1020"/>
      <c r="H13" s="1020"/>
      <c r="I13" s="1020"/>
      <c r="J13" s="817">
        <f t="shared" si="1"/>
        <v>0</v>
      </c>
      <c r="K13" s="762"/>
      <c r="L13" s="761"/>
      <c r="M13" s="902"/>
      <c r="N13" s="1014">
        <v>130</v>
      </c>
      <c r="O13" s="1015">
        <v>417.99</v>
      </c>
      <c r="P13" s="1016" t="s">
        <v>116</v>
      </c>
      <c r="Q13" s="1017"/>
      <c r="R13" s="900"/>
      <c r="S13" s="900"/>
    </row>
    <row r="14" spans="1:19" s="501" customFormat="1">
      <c r="A14" s="1089">
        <v>401</v>
      </c>
      <c r="B14" s="1086" t="s">
        <v>1439</v>
      </c>
      <c r="C14" s="1020">
        <v>0</v>
      </c>
      <c r="D14" s="1087">
        <v>1818</v>
      </c>
      <c r="E14" s="1087">
        <v>3531</v>
      </c>
      <c r="F14" s="1087">
        <v>5349</v>
      </c>
      <c r="G14" s="1020">
        <v>0</v>
      </c>
      <c r="H14" s="1020">
        <v>0</v>
      </c>
      <c r="I14" s="1020">
        <v>271.92</v>
      </c>
      <c r="J14" s="817">
        <f t="shared" si="1"/>
        <v>271.92</v>
      </c>
      <c r="K14" s="762"/>
      <c r="L14" s="761"/>
      <c r="M14" s="902"/>
      <c r="N14" s="1014">
        <v>412</v>
      </c>
      <c r="O14" s="1015">
        <v>762.67</v>
      </c>
      <c r="P14" s="1018" t="s">
        <v>120</v>
      </c>
      <c r="Q14" s="1017"/>
      <c r="R14" s="900"/>
      <c r="S14" s="900"/>
    </row>
    <row r="15" spans="1:19" s="501" customFormat="1" ht="15">
      <c r="A15" s="1089">
        <v>403</v>
      </c>
      <c r="B15" s="1086" t="s">
        <v>1440</v>
      </c>
      <c r="C15" s="1087">
        <v>4972</v>
      </c>
      <c r="D15" s="1087">
        <v>24737</v>
      </c>
      <c r="E15" s="1020">
        <v>716</v>
      </c>
      <c r="F15" s="1087">
        <v>30425</v>
      </c>
      <c r="G15" s="1020">
        <v>0</v>
      </c>
      <c r="H15" s="1020">
        <v>0</v>
      </c>
      <c r="I15" s="1022">
        <v>1236.22</v>
      </c>
      <c r="J15" s="817">
        <f t="shared" si="1"/>
        <v>1236.22</v>
      </c>
      <c r="K15" s="762"/>
      <c r="L15" s="761"/>
      <c r="M15" s="902"/>
      <c r="N15" s="1014">
        <v>862</v>
      </c>
      <c r="O15" s="1015">
        <v>280.64</v>
      </c>
      <c r="P15" s="1019" t="s">
        <v>1358</v>
      </c>
      <c r="Q15" s="1017"/>
      <c r="R15" s="900"/>
      <c r="S15" s="900"/>
    </row>
    <row r="16" spans="1:19" s="501" customFormat="1">
      <c r="A16" s="1089">
        <v>402</v>
      </c>
      <c r="B16" s="1086" t="s">
        <v>1441</v>
      </c>
      <c r="C16" s="1087">
        <v>22697</v>
      </c>
      <c r="D16" s="1087">
        <v>9078</v>
      </c>
      <c r="E16" s="1087">
        <v>1275</v>
      </c>
      <c r="F16" s="1087">
        <v>33050</v>
      </c>
      <c r="G16" s="1020">
        <v>0</v>
      </c>
      <c r="H16" s="1020">
        <v>0</v>
      </c>
      <c r="I16" s="1022">
        <v>1205.6500000000001</v>
      </c>
      <c r="J16" s="817">
        <f t="shared" si="1"/>
        <v>1205.6500000000001</v>
      </c>
      <c r="L16" s="761"/>
      <c r="M16" s="903"/>
      <c r="N16" s="1020">
        <v>203658</v>
      </c>
      <c r="O16" s="1015">
        <v>88.85</v>
      </c>
      <c r="P16" s="1020" t="s">
        <v>1359</v>
      </c>
      <c r="Q16" s="1020"/>
      <c r="R16" s="900"/>
      <c r="S16" s="900"/>
    </row>
    <row r="17" spans="1:20" s="501" customFormat="1" ht="15">
      <c r="A17" s="1089">
        <v>425</v>
      </c>
      <c r="B17" s="1086" t="s">
        <v>1442</v>
      </c>
      <c r="C17" s="1020">
        <v>0</v>
      </c>
      <c r="D17" s="1020">
        <v>343</v>
      </c>
      <c r="E17" s="1020">
        <v>375</v>
      </c>
      <c r="F17" s="1020">
        <v>718</v>
      </c>
      <c r="G17" s="1020">
        <v>0</v>
      </c>
      <c r="H17" s="1020">
        <v>0</v>
      </c>
      <c r="I17" s="1020">
        <v>35.130000000000003</v>
      </c>
      <c r="J17" s="817">
        <f t="shared" si="1"/>
        <v>35.130000000000003</v>
      </c>
      <c r="K17" s="763"/>
      <c r="L17" s="764"/>
      <c r="M17" s="904"/>
      <c r="N17" s="1020">
        <v>203599</v>
      </c>
      <c r="O17" s="1015">
        <v>86.15</v>
      </c>
      <c r="P17" s="1020" t="s">
        <v>1319</v>
      </c>
      <c r="Q17" s="1020"/>
      <c r="R17" s="900"/>
      <c r="S17" s="900"/>
    </row>
    <row r="18" spans="1:20" s="501" customFormat="1">
      <c r="A18" s="1091">
        <v>104952</v>
      </c>
      <c r="B18" s="1092" t="s">
        <v>1436</v>
      </c>
      <c r="C18" s="1020"/>
      <c r="D18" s="1020"/>
      <c r="E18" s="1020"/>
      <c r="F18" s="1020"/>
      <c r="G18" s="1020"/>
      <c r="H18" s="1020"/>
      <c r="I18" s="1022">
        <v>3492.63</v>
      </c>
      <c r="J18" s="1090">
        <f>SUM(J12:J17)</f>
        <v>3693.9200000000005</v>
      </c>
      <c r="K18" s="773">
        <f>VLOOKUP(A18,$N$6:$O$18,2,FALSE)</f>
        <v>1279</v>
      </c>
      <c r="L18" s="761"/>
      <c r="M18" s="902"/>
      <c r="N18" s="1020"/>
      <c r="O18" s="1021"/>
      <c r="P18" s="1020"/>
      <c r="Q18" s="1020"/>
      <c r="R18" s="900"/>
      <c r="S18" s="900"/>
    </row>
    <row r="19" spans="1:20" s="501" customFormat="1">
      <c r="A19" s="1089"/>
      <c r="B19" s="1020"/>
      <c r="C19" s="1020"/>
      <c r="D19" s="1020"/>
      <c r="E19" s="1020"/>
      <c r="F19" s="1020"/>
      <c r="G19" s="1020"/>
      <c r="H19" s="1020"/>
      <c r="I19" s="1020"/>
      <c r="J19" s="817"/>
      <c r="K19" s="765"/>
      <c r="L19" s="766"/>
      <c r="M19" s="905"/>
      <c r="N19" s="1020"/>
      <c r="O19" s="1022">
        <f>SUM(O6:O18)</f>
        <v>10948.399999999998</v>
      </c>
      <c r="P19" s="1020" t="s">
        <v>195</v>
      </c>
      <c r="Q19" s="1020"/>
      <c r="R19" s="900"/>
      <c r="S19" s="900"/>
    </row>
    <row r="20" spans="1:20" s="501" customFormat="1">
      <c r="A20" s="1089"/>
      <c r="B20" s="1092" t="s">
        <v>1443</v>
      </c>
      <c r="C20" s="1020"/>
      <c r="D20" s="1020"/>
      <c r="E20" s="1020"/>
      <c r="F20" s="1020"/>
      <c r="G20" s="1020"/>
      <c r="H20" s="1020"/>
      <c r="I20" s="1020"/>
      <c r="J20" s="817"/>
      <c r="K20" s="765"/>
      <c r="L20" s="766"/>
      <c r="M20" s="905"/>
      <c r="N20" s="900"/>
      <c r="O20" s="900"/>
      <c r="P20" s="900"/>
      <c r="Q20" s="900"/>
      <c r="R20" s="900"/>
      <c r="S20" s="900"/>
    </row>
    <row r="21" spans="1:20" s="501" customFormat="1" outlineLevel="1">
      <c r="A21" s="1089" t="s">
        <v>1626</v>
      </c>
      <c r="B21" s="1086" t="s">
        <v>1627</v>
      </c>
      <c r="C21" s="1020">
        <v>0</v>
      </c>
      <c r="D21" s="1020">
        <v>0</v>
      </c>
      <c r="E21" s="1020">
        <v>0</v>
      </c>
      <c r="F21" s="1020">
        <v>0</v>
      </c>
      <c r="G21" s="1020">
        <v>967</v>
      </c>
      <c r="H21" s="1020">
        <v>0</v>
      </c>
      <c r="I21" s="1020">
        <v>967</v>
      </c>
      <c r="J21" s="817">
        <f t="shared" ref="J21:J29" si="2">ROUND(SUM(($C21/30)+($D21/24)+($E21/18)+$G21+$H21),2)</f>
        <v>967</v>
      </c>
      <c r="K21" s="761"/>
      <c r="L21" s="761"/>
      <c r="M21" s="902"/>
      <c r="N21" s="900"/>
      <c r="O21" s="900"/>
      <c r="P21" s="900"/>
      <c r="Q21" s="900"/>
      <c r="R21" s="900"/>
      <c r="S21" s="900"/>
    </row>
    <row r="22" spans="1:20" s="501" customFormat="1" outlineLevel="1">
      <c r="A22" s="1089" t="s">
        <v>1628</v>
      </c>
      <c r="B22" s="1086" t="s">
        <v>1629</v>
      </c>
      <c r="C22" s="1020">
        <v>0</v>
      </c>
      <c r="D22" s="1020">
        <v>0</v>
      </c>
      <c r="E22" s="1020">
        <v>0</v>
      </c>
      <c r="F22" s="1020">
        <v>0</v>
      </c>
      <c r="G22" s="1020">
        <v>406</v>
      </c>
      <c r="H22" s="1020">
        <v>0</v>
      </c>
      <c r="I22" s="1020">
        <v>406</v>
      </c>
      <c r="J22" s="817">
        <f t="shared" si="2"/>
        <v>406</v>
      </c>
      <c r="K22" s="761"/>
      <c r="L22" s="761"/>
      <c r="M22" s="902"/>
      <c r="N22" s="900"/>
      <c r="O22" s="900"/>
      <c r="P22" s="900"/>
      <c r="Q22" s="900"/>
      <c r="R22" s="900"/>
      <c r="S22" s="900"/>
    </row>
    <row r="23" spans="1:20" s="501" customFormat="1" outlineLevel="1">
      <c r="A23" s="1089" t="s">
        <v>1630</v>
      </c>
      <c r="B23" s="1086" t="s">
        <v>1629</v>
      </c>
      <c r="C23" s="1020">
        <v>0</v>
      </c>
      <c r="D23" s="1020">
        <v>0</v>
      </c>
      <c r="E23" s="1020">
        <v>0</v>
      </c>
      <c r="F23" s="1020">
        <v>0</v>
      </c>
      <c r="G23" s="1020">
        <v>0</v>
      </c>
      <c r="H23" s="1020">
        <v>90</v>
      </c>
      <c r="I23" s="1020">
        <v>90</v>
      </c>
      <c r="J23" s="817">
        <f t="shared" si="2"/>
        <v>90</v>
      </c>
      <c r="K23" s="761"/>
      <c r="L23" s="761"/>
      <c r="M23" s="902"/>
      <c r="N23" s="900"/>
      <c r="O23" s="900"/>
      <c r="P23" s="900"/>
      <c r="Q23" s="900"/>
      <c r="R23" s="900"/>
      <c r="S23" s="900"/>
    </row>
    <row r="24" spans="1:20" s="501" customFormat="1" outlineLevel="1">
      <c r="A24" s="1089" t="s">
        <v>1631</v>
      </c>
      <c r="B24" s="1086" t="s">
        <v>1632</v>
      </c>
      <c r="C24" s="1020">
        <v>0</v>
      </c>
      <c r="D24" s="1087">
        <v>1544</v>
      </c>
      <c r="E24" s="1087">
        <v>6769</v>
      </c>
      <c r="F24" s="1087">
        <v>8313</v>
      </c>
      <c r="G24" s="1020">
        <v>0</v>
      </c>
      <c r="H24" s="1020">
        <v>0</v>
      </c>
      <c r="I24" s="1020">
        <v>440.39</v>
      </c>
      <c r="J24" s="817">
        <f t="shared" si="2"/>
        <v>440.39</v>
      </c>
      <c r="K24" s="761"/>
      <c r="L24" s="761"/>
      <c r="M24" s="902"/>
      <c r="N24" s="902"/>
      <c r="O24" s="900"/>
      <c r="P24" s="900"/>
      <c r="Q24" s="900"/>
      <c r="R24" s="900"/>
      <c r="S24" s="900"/>
      <c r="T24" s="900"/>
    </row>
    <row r="25" spans="1:20" s="501" customFormat="1" outlineLevel="1">
      <c r="A25" s="1089" t="s">
        <v>1633</v>
      </c>
      <c r="B25" s="1086" t="s">
        <v>1632</v>
      </c>
      <c r="C25" s="1020">
        <v>0</v>
      </c>
      <c r="D25" s="1020">
        <v>962</v>
      </c>
      <c r="E25" s="1020">
        <v>0</v>
      </c>
      <c r="F25" s="1020">
        <v>962</v>
      </c>
      <c r="G25" s="1020">
        <v>0</v>
      </c>
      <c r="H25" s="1020">
        <v>0</v>
      </c>
      <c r="I25" s="1020">
        <v>40.08</v>
      </c>
      <c r="J25" s="817">
        <f t="shared" si="2"/>
        <v>40.08</v>
      </c>
      <c r="L25" s="113"/>
      <c r="M25" s="903"/>
      <c r="N25" s="902"/>
      <c r="O25" s="900"/>
      <c r="P25" s="900"/>
      <c r="Q25" s="900"/>
      <c r="R25" s="900"/>
      <c r="S25" s="900"/>
      <c r="T25" s="900"/>
    </row>
    <row r="26" spans="1:20" s="501" customFormat="1" outlineLevel="1">
      <c r="A26" s="1089" t="s">
        <v>1634</v>
      </c>
      <c r="B26" s="1086" t="s">
        <v>1635</v>
      </c>
      <c r="C26" s="1020">
        <v>2526</v>
      </c>
      <c r="D26" s="1020">
        <v>0</v>
      </c>
      <c r="E26" s="1020">
        <v>0</v>
      </c>
      <c r="F26" s="1020">
        <v>2526</v>
      </c>
      <c r="G26" s="1020">
        <v>0</v>
      </c>
      <c r="H26" s="1020">
        <v>0</v>
      </c>
      <c r="I26" s="1020">
        <v>84.2</v>
      </c>
      <c r="J26" s="817">
        <f t="shared" si="2"/>
        <v>84.2</v>
      </c>
      <c r="L26" s="761"/>
      <c r="M26" s="902"/>
      <c r="N26" s="902"/>
      <c r="O26" s="900"/>
      <c r="P26" s="900"/>
      <c r="Q26" s="900"/>
      <c r="R26" s="900"/>
      <c r="S26" s="900"/>
      <c r="T26" s="900"/>
    </row>
    <row r="27" spans="1:20" s="501" customFormat="1" outlineLevel="1">
      <c r="A27" s="1089" t="s">
        <v>1636</v>
      </c>
      <c r="B27" s="1086" t="s">
        <v>1637</v>
      </c>
      <c r="C27" s="1020">
        <v>0</v>
      </c>
      <c r="D27" s="1020">
        <v>3307</v>
      </c>
      <c r="E27" s="1020">
        <v>347</v>
      </c>
      <c r="F27" s="1020">
        <v>3654</v>
      </c>
      <c r="G27" s="1020">
        <v>0</v>
      </c>
      <c r="H27" s="1020">
        <v>0</v>
      </c>
      <c r="I27" s="1020">
        <v>157.07</v>
      </c>
      <c r="J27" s="817">
        <f t="shared" si="2"/>
        <v>157.07</v>
      </c>
      <c r="K27" s="761"/>
      <c r="L27" s="761"/>
      <c r="M27" s="902"/>
      <c r="N27" s="902"/>
      <c r="O27" s="900"/>
      <c r="P27" s="900"/>
      <c r="Q27" s="900"/>
      <c r="R27" s="900"/>
      <c r="S27" s="900"/>
      <c r="T27" s="900"/>
    </row>
    <row r="28" spans="1:20" s="501" customFormat="1" outlineLevel="1">
      <c r="A28" s="1089" t="s">
        <v>1638</v>
      </c>
      <c r="B28" s="1086" t="s">
        <v>1639</v>
      </c>
      <c r="C28" s="1087">
        <v>25536</v>
      </c>
      <c r="D28" s="1020">
        <v>13932</v>
      </c>
      <c r="E28" s="1020">
        <v>4690</v>
      </c>
      <c r="F28" s="1087">
        <v>44158</v>
      </c>
      <c r="G28" s="1020">
        <v>0</v>
      </c>
      <c r="H28" s="1020">
        <v>0</v>
      </c>
      <c r="I28" s="1020">
        <v>1692.26</v>
      </c>
      <c r="J28" s="817">
        <f t="shared" si="2"/>
        <v>1692.26</v>
      </c>
      <c r="K28" s="761"/>
      <c r="L28" s="761"/>
      <c r="M28" s="902"/>
      <c r="N28" s="902"/>
      <c r="O28" s="900"/>
      <c r="P28" s="900"/>
      <c r="Q28" s="900"/>
      <c r="R28" s="900"/>
      <c r="S28" s="900"/>
      <c r="T28" s="900"/>
    </row>
    <row r="29" spans="1:20" s="501" customFormat="1" outlineLevel="1">
      <c r="A29" s="1089" t="s">
        <v>1640</v>
      </c>
      <c r="B29" s="1086" t="s">
        <v>1641</v>
      </c>
      <c r="C29" s="1020">
        <v>0</v>
      </c>
      <c r="D29" s="1087">
        <v>16452</v>
      </c>
      <c r="E29" s="1020">
        <v>5857</v>
      </c>
      <c r="F29" s="1087">
        <v>22309</v>
      </c>
      <c r="G29" s="1020">
        <v>0</v>
      </c>
      <c r="H29" s="1020">
        <v>0</v>
      </c>
      <c r="I29" s="1020">
        <v>1010.89</v>
      </c>
      <c r="J29" s="817">
        <f t="shared" si="2"/>
        <v>1010.89</v>
      </c>
      <c r="K29" s="761"/>
      <c r="L29" s="761"/>
      <c r="M29" s="902"/>
      <c r="N29" s="902"/>
      <c r="O29" s="900"/>
      <c r="P29" s="900"/>
      <c r="Q29" s="900"/>
      <c r="R29" s="900"/>
      <c r="S29" s="900"/>
      <c r="T29" s="900"/>
    </row>
    <row r="30" spans="1:20" s="501" customFormat="1">
      <c r="A30" s="1091">
        <v>11618</v>
      </c>
      <c r="B30" s="1092" t="s">
        <v>1443</v>
      </c>
      <c r="C30" s="1020"/>
      <c r="D30" s="1020"/>
      <c r="E30" s="1020"/>
      <c r="F30" s="1020"/>
      <c r="G30" s="1020"/>
      <c r="H30" s="1020"/>
      <c r="I30" s="1022">
        <v>4769.8999999999996</v>
      </c>
      <c r="J30" s="1090">
        <f>SUM(J21:J29)</f>
        <v>4887.8900000000003</v>
      </c>
      <c r="K30" s="773">
        <f>VLOOKUP(A30,$N$6:$O$18,2,FALSE)</f>
        <v>1926.48</v>
      </c>
      <c r="L30" s="761"/>
      <c r="M30" s="902"/>
      <c r="N30" s="902"/>
      <c r="O30" s="900"/>
      <c r="P30" s="900"/>
      <c r="Q30" s="900"/>
      <c r="R30" s="900"/>
      <c r="S30" s="900"/>
      <c r="T30" s="900"/>
    </row>
    <row r="31" spans="1:20" s="501" customFormat="1">
      <c r="A31" s="1089"/>
      <c r="B31" s="1020"/>
      <c r="C31" s="1020"/>
      <c r="D31" s="1020"/>
      <c r="E31" s="1020"/>
      <c r="F31" s="1020"/>
      <c r="G31" s="1020"/>
      <c r="H31" s="1020"/>
      <c r="I31" s="1020"/>
      <c r="J31" s="817"/>
      <c r="K31" s="761"/>
      <c r="L31" s="761"/>
      <c r="M31" s="902"/>
      <c r="N31" s="902"/>
      <c r="O31" s="900"/>
      <c r="P31" s="900"/>
      <c r="Q31" s="900"/>
      <c r="R31" s="900"/>
      <c r="S31" s="900"/>
      <c r="T31" s="900"/>
    </row>
    <row r="32" spans="1:20" s="501" customFormat="1">
      <c r="A32" s="1089"/>
      <c r="B32" s="1092" t="s">
        <v>1444</v>
      </c>
      <c r="C32" s="1020"/>
      <c r="D32" s="1020"/>
      <c r="E32" s="1020"/>
      <c r="F32" s="1020"/>
      <c r="G32" s="1020"/>
      <c r="H32" s="1020"/>
      <c r="I32" s="1020"/>
      <c r="J32" s="817"/>
      <c r="K32" s="761"/>
      <c r="L32" s="761"/>
      <c r="M32" s="902"/>
      <c r="N32" s="902"/>
      <c r="O32" s="900"/>
      <c r="P32" s="900"/>
      <c r="Q32" s="900"/>
      <c r="R32" s="900"/>
      <c r="S32" s="900"/>
      <c r="T32" s="900"/>
    </row>
    <row r="33" spans="1:20" s="501" customFormat="1" hidden="1" outlineLevel="1">
      <c r="A33" s="1089" t="s">
        <v>1642</v>
      </c>
      <c r="B33" s="1086" t="s">
        <v>1643</v>
      </c>
      <c r="C33" s="1020">
        <v>0</v>
      </c>
      <c r="D33" s="1020">
        <v>0</v>
      </c>
      <c r="E33" s="1020">
        <v>0</v>
      </c>
      <c r="F33" s="1020">
        <v>0</v>
      </c>
      <c r="G33" s="1020">
        <v>858</v>
      </c>
      <c r="H33" s="1020">
        <v>0</v>
      </c>
      <c r="I33" s="1020">
        <v>858</v>
      </c>
      <c r="J33" s="817">
        <f t="shared" ref="J33:J40" si="3">ROUND(SUM(($C33/30)+($D33/24)+($E33/18)+$G33+$H33),2)</f>
        <v>858</v>
      </c>
      <c r="K33" s="761"/>
      <c r="L33" s="761"/>
      <c r="M33" s="902"/>
      <c r="N33" s="902"/>
      <c r="O33" s="900"/>
      <c r="P33" s="900"/>
      <c r="Q33" s="900"/>
      <c r="R33" s="900"/>
      <c r="S33" s="900"/>
      <c r="T33" s="900"/>
    </row>
    <row r="34" spans="1:20" s="501" customFormat="1" hidden="1" outlineLevel="1">
      <c r="A34" s="1089" t="s">
        <v>1644</v>
      </c>
      <c r="B34" s="1086" t="s">
        <v>1645</v>
      </c>
      <c r="C34" s="1020">
        <v>0</v>
      </c>
      <c r="D34" s="1020">
        <v>0</v>
      </c>
      <c r="E34" s="1020">
        <v>0</v>
      </c>
      <c r="F34" s="1020">
        <v>0</v>
      </c>
      <c r="G34" s="1020">
        <v>0</v>
      </c>
      <c r="H34" s="1020">
        <v>104</v>
      </c>
      <c r="I34" s="1020">
        <v>104</v>
      </c>
      <c r="J34" s="817">
        <f t="shared" si="3"/>
        <v>104</v>
      </c>
      <c r="K34" s="761"/>
      <c r="L34" s="761"/>
      <c r="M34" s="902"/>
      <c r="N34" s="902"/>
      <c r="O34" s="900"/>
      <c r="P34" s="900"/>
      <c r="Q34" s="900"/>
      <c r="R34" s="900"/>
      <c r="S34" s="900"/>
      <c r="T34" s="900"/>
    </row>
    <row r="35" spans="1:20" s="501" customFormat="1" hidden="1" outlineLevel="1">
      <c r="A35" s="1089" t="s">
        <v>1646</v>
      </c>
      <c r="B35" s="1086" t="s">
        <v>1645</v>
      </c>
      <c r="C35" s="1020">
        <v>0</v>
      </c>
      <c r="D35" s="1020">
        <v>0</v>
      </c>
      <c r="E35" s="1020">
        <v>0</v>
      </c>
      <c r="F35" s="1020">
        <v>0</v>
      </c>
      <c r="G35" s="1020">
        <v>434</v>
      </c>
      <c r="H35" s="1020">
        <v>0</v>
      </c>
      <c r="I35" s="1020">
        <v>434</v>
      </c>
      <c r="J35" s="817">
        <f t="shared" si="3"/>
        <v>434</v>
      </c>
      <c r="K35" s="761"/>
      <c r="L35" s="761"/>
      <c r="M35" s="902"/>
      <c r="N35" s="902"/>
      <c r="O35" s="900"/>
      <c r="P35" s="900"/>
      <c r="Q35" s="900"/>
      <c r="R35" s="900"/>
      <c r="S35" s="900"/>
      <c r="T35" s="900"/>
    </row>
    <row r="36" spans="1:20" s="501" customFormat="1" hidden="1" outlineLevel="1">
      <c r="A36" s="1089" t="s">
        <v>1647</v>
      </c>
      <c r="B36" s="1086" t="s">
        <v>1648</v>
      </c>
      <c r="C36" s="1020">
        <v>0</v>
      </c>
      <c r="D36" s="1020">
        <v>1237</v>
      </c>
      <c r="E36" s="1020">
        <v>4635</v>
      </c>
      <c r="F36" s="1020">
        <v>5872</v>
      </c>
      <c r="G36" s="1020">
        <v>0</v>
      </c>
      <c r="H36" s="1020">
        <v>0</v>
      </c>
      <c r="I36" s="1020">
        <v>309.04000000000002</v>
      </c>
      <c r="J36" s="817">
        <f t="shared" si="3"/>
        <v>309.04000000000002</v>
      </c>
      <c r="K36" s="761"/>
      <c r="L36" s="761"/>
      <c r="M36" s="902"/>
      <c r="N36" s="902"/>
      <c r="O36" s="900"/>
      <c r="P36" s="900"/>
      <c r="Q36" s="900"/>
      <c r="R36" s="900"/>
      <c r="S36" s="900"/>
      <c r="T36" s="900"/>
    </row>
    <row r="37" spans="1:20" s="501" customFormat="1" hidden="1" outlineLevel="1">
      <c r="A37" s="1089" t="s">
        <v>1649</v>
      </c>
      <c r="B37" s="1086" t="s">
        <v>1650</v>
      </c>
      <c r="C37" s="1020">
        <v>13817</v>
      </c>
      <c r="D37" s="1020">
        <v>17497</v>
      </c>
      <c r="E37" s="1020">
        <v>378</v>
      </c>
      <c r="F37" s="1020">
        <v>31692</v>
      </c>
      <c r="G37" s="1020">
        <v>0</v>
      </c>
      <c r="H37" s="1020">
        <v>0</v>
      </c>
      <c r="I37" s="1020">
        <v>1210.6099999999999</v>
      </c>
      <c r="J37" s="817">
        <f t="shared" si="3"/>
        <v>1210.6099999999999</v>
      </c>
      <c r="K37" s="761"/>
      <c r="L37" s="761"/>
      <c r="M37" s="902"/>
      <c r="N37" s="902"/>
      <c r="O37" s="900"/>
      <c r="P37" s="900"/>
      <c r="Q37" s="900"/>
      <c r="R37" s="900"/>
      <c r="S37" s="900"/>
      <c r="T37" s="900"/>
    </row>
    <row r="38" spans="1:20" s="501" customFormat="1" hidden="1" outlineLevel="1">
      <c r="A38" s="1089" t="s">
        <v>1651</v>
      </c>
      <c r="B38" s="1086" t="s">
        <v>1650</v>
      </c>
      <c r="C38" s="1020">
        <v>0</v>
      </c>
      <c r="D38" s="1020">
        <v>500</v>
      </c>
      <c r="E38" s="1020">
        <v>0</v>
      </c>
      <c r="F38" s="1020">
        <v>500</v>
      </c>
      <c r="G38" s="1020">
        <v>0</v>
      </c>
      <c r="H38" s="1020">
        <v>0</v>
      </c>
      <c r="I38" s="1020">
        <v>20.83</v>
      </c>
      <c r="J38" s="817">
        <f t="shared" si="3"/>
        <v>20.83</v>
      </c>
      <c r="K38" s="761"/>
      <c r="L38" s="761"/>
      <c r="M38" s="903"/>
      <c r="N38" s="902"/>
      <c r="O38" s="900"/>
      <c r="P38" s="900"/>
      <c r="Q38" s="900"/>
      <c r="R38" s="900"/>
      <c r="S38" s="900"/>
      <c r="T38" s="900"/>
    </row>
    <row r="39" spans="1:20" s="501" customFormat="1" hidden="1" outlineLevel="1">
      <c r="A39" s="1089" t="s">
        <v>1652</v>
      </c>
      <c r="B39" s="1086" t="s">
        <v>1653</v>
      </c>
      <c r="C39" s="1020">
        <v>1803</v>
      </c>
      <c r="D39" s="1020">
        <v>0</v>
      </c>
      <c r="E39" s="1020">
        <v>0</v>
      </c>
      <c r="F39" s="1020">
        <v>1803</v>
      </c>
      <c r="G39" s="1020">
        <v>0</v>
      </c>
      <c r="H39" s="1020">
        <v>0</v>
      </c>
      <c r="I39" s="1020">
        <v>60.1</v>
      </c>
      <c r="J39" s="817">
        <f t="shared" si="3"/>
        <v>60.1</v>
      </c>
      <c r="L39" s="761"/>
      <c r="M39" s="902"/>
      <c r="N39" s="902"/>
      <c r="O39" s="900"/>
      <c r="P39" s="900"/>
      <c r="Q39" s="900"/>
      <c r="R39" s="900"/>
      <c r="S39" s="900"/>
      <c r="T39" s="900"/>
    </row>
    <row r="40" spans="1:20" s="501" customFormat="1" hidden="1" outlineLevel="1">
      <c r="A40" s="1089" t="s">
        <v>1654</v>
      </c>
      <c r="B40" s="1086" t="s">
        <v>1655</v>
      </c>
      <c r="C40" s="1020">
        <v>19068</v>
      </c>
      <c r="D40" s="1087">
        <v>4068</v>
      </c>
      <c r="E40" s="1087">
        <v>472</v>
      </c>
      <c r="F40" s="1087">
        <v>23608</v>
      </c>
      <c r="G40" s="1020">
        <v>0</v>
      </c>
      <c r="H40" s="1020">
        <v>0</v>
      </c>
      <c r="I40" s="1020">
        <v>831.32</v>
      </c>
      <c r="J40" s="817">
        <f t="shared" si="3"/>
        <v>831.32</v>
      </c>
      <c r="K40" s="761"/>
      <c r="L40" s="761"/>
      <c r="M40" s="902"/>
      <c r="N40" s="902"/>
      <c r="O40" s="900"/>
      <c r="P40" s="900"/>
      <c r="Q40" s="900"/>
      <c r="R40" s="900"/>
      <c r="S40" s="900"/>
      <c r="T40" s="900"/>
    </row>
    <row r="41" spans="1:20" s="501" customFormat="1" collapsed="1">
      <c r="A41" s="1091">
        <v>40</v>
      </c>
      <c r="B41" s="1092" t="s">
        <v>1444</v>
      </c>
      <c r="C41" s="1020"/>
      <c r="D41" s="1020"/>
      <c r="E41" s="1020"/>
      <c r="F41" s="1020"/>
      <c r="G41" s="1020"/>
      <c r="H41" s="1020"/>
      <c r="I41" s="1022">
        <v>3646.65</v>
      </c>
      <c r="J41" s="1090">
        <f>SUM(J33:J40)</f>
        <v>3827.8999999999996</v>
      </c>
      <c r="K41" s="773">
        <f>VLOOKUP(A41,$N$6:$O$18,2,FALSE)</f>
        <v>1342.99</v>
      </c>
      <c r="L41" s="761"/>
      <c r="M41" s="761"/>
      <c r="N41" s="761"/>
    </row>
    <row r="42" spans="1:20" s="501" customFormat="1">
      <c r="A42" s="1089"/>
      <c r="B42" s="1020"/>
      <c r="C42" s="1020"/>
      <c r="D42" s="1020"/>
      <c r="E42" s="1020"/>
      <c r="F42" s="1020"/>
      <c r="G42" s="1020"/>
      <c r="H42" s="1020"/>
      <c r="I42" s="1020"/>
      <c r="J42" s="817"/>
      <c r="K42" s="761"/>
      <c r="L42" s="761"/>
      <c r="M42" s="761"/>
      <c r="N42" s="761"/>
    </row>
    <row r="43" spans="1:20" s="501" customFormat="1">
      <c r="A43" s="1089"/>
      <c r="B43" s="1092" t="s">
        <v>1445</v>
      </c>
      <c r="C43" s="1020"/>
      <c r="D43" s="1020"/>
      <c r="E43" s="1020"/>
      <c r="F43" s="1020"/>
      <c r="G43" s="1020"/>
      <c r="H43" s="1020"/>
      <c r="I43" s="1020"/>
      <c r="J43" s="817"/>
      <c r="K43" s="761"/>
      <c r="L43" s="761"/>
      <c r="M43" s="761"/>
      <c r="N43" s="761"/>
    </row>
    <row r="44" spans="1:20" s="501" customFormat="1">
      <c r="A44" s="1089"/>
      <c r="B44" s="1086" t="s">
        <v>1446</v>
      </c>
      <c r="C44" s="1087">
        <v>10318</v>
      </c>
      <c r="D44" s="1020">
        <v>822</v>
      </c>
      <c r="E44" s="1020">
        <v>0</v>
      </c>
      <c r="F44" s="1087">
        <v>11140</v>
      </c>
      <c r="G44" s="1020">
        <v>0</v>
      </c>
      <c r="H44" s="1020">
        <v>0</v>
      </c>
      <c r="I44" s="1020">
        <v>378.18</v>
      </c>
      <c r="J44" s="817">
        <f>ROUND(SUM(($C44/30)+($D44/24)+($E44/18)+$G44+$H44),2)</f>
        <v>378.18</v>
      </c>
      <c r="K44" s="761"/>
      <c r="L44" s="761"/>
      <c r="M44" s="761"/>
      <c r="N44" s="761"/>
    </row>
    <row r="45" spans="1:20" s="501" customFormat="1">
      <c r="A45" s="1091">
        <v>25554</v>
      </c>
      <c r="B45" s="1092" t="s">
        <v>1445</v>
      </c>
      <c r="C45" s="1020"/>
      <c r="D45" s="1020"/>
      <c r="E45" s="1020"/>
      <c r="F45" s="1020"/>
      <c r="G45" s="1020"/>
      <c r="H45" s="1020"/>
      <c r="I45" s="1020">
        <v>375.77</v>
      </c>
      <c r="J45" s="1090">
        <f>SUM(J44)</f>
        <v>378.18</v>
      </c>
      <c r="K45" s="773">
        <f>VLOOKUP(A45,$N$6:$O$18,2,FALSE)</f>
        <v>1790.7</v>
      </c>
      <c r="L45" s="761"/>
      <c r="M45" s="903"/>
      <c r="N45" s="902"/>
      <c r="O45" s="900"/>
      <c r="P45" s="900"/>
      <c r="Q45" s="900"/>
      <c r="R45" s="900"/>
      <c r="S45" s="900"/>
      <c r="T45" s="900"/>
    </row>
    <row r="46" spans="1:20" s="501" customFormat="1">
      <c r="A46" s="1089"/>
      <c r="B46" s="1020"/>
      <c r="C46" s="1020"/>
      <c r="D46" s="1020"/>
      <c r="E46" s="1020"/>
      <c r="F46" s="1020"/>
      <c r="G46" s="1020"/>
      <c r="H46" s="1020"/>
      <c r="I46" s="1020"/>
      <c r="J46" s="817"/>
      <c r="L46" s="761"/>
      <c r="M46" s="761"/>
      <c r="N46" s="761"/>
    </row>
    <row r="47" spans="1:20" s="501" customFormat="1">
      <c r="A47" s="1089"/>
      <c r="B47" s="1092" t="s">
        <v>1447</v>
      </c>
      <c r="C47" s="1020"/>
      <c r="D47" s="1020"/>
      <c r="E47" s="1020"/>
      <c r="F47" s="1020"/>
      <c r="G47" s="1020"/>
      <c r="H47" s="1020"/>
      <c r="I47" s="1020"/>
      <c r="J47" s="817"/>
      <c r="K47" s="761"/>
      <c r="L47" s="761"/>
      <c r="M47" s="761"/>
      <c r="N47" s="761"/>
    </row>
    <row r="48" spans="1:20" s="501" customFormat="1" hidden="1" outlineLevel="1">
      <c r="A48" s="1089">
        <v>427</v>
      </c>
      <c r="B48" s="1086" t="s">
        <v>1448</v>
      </c>
      <c r="C48" s="1020">
        <v>0</v>
      </c>
      <c r="D48" s="1020">
        <v>285</v>
      </c>
      <c r="E48" s="1020">
        <v>0</v>
      </c>
      <c r="F48" s="1020">
        <v>285</v>
      </c>
      <c r="G48" s="1020">
        <v>0</v>
      </c>
      <c r="H48" s="1020">
        <v>0</v>
      </c>
      <c r="I48" s="1020">
        <v>11.88</v>
      </c>
      <c r="J48" s="817">
        <f t="shared" ref="J48:J49" si="4">ROUND(SUM(($C48/30)+($D48/24)+($E48/18)+$G48+$H48),2)</f>
        <v>11.88</v>
      </c>
      <c r="L48" s="761"/>
      <c r="M48" s="903"/>
      <c r="N48" s="902"/>
      <c r="O48" s="900"/>
      <c r="P48" s="900"/>
      <c r="Q48" s="900"/>
      <c r="R48" s="900"/>
      <c r="S48" s="900"/>
      <c r="T48" s="900"/>
    </row>
    <row r="49" spans="1:20" s="501" customFormat="1" hidden="1" outlineLevel="1">
      <c r="A49" s="1089">
        <v>429</v>
      </c>
      <c r="B49" s="1086" t="s">
        <v>1449</v>
      </c>
      <c r="C49" s="1020">
        <v>0</v>
      </c>
      <c r="D49" s="1020">
        <v>438</v>
      </c>
      <c r="E49" s="1020">
        <v>0</v>
      </c>
      <c r="F49" s="1020">
        <v>438</v>
      </c>
      <c r="G49" s="1020">
        <v>0</v>
      </c>
      <c r="H49" s="1020">
        <v>0</v>
      </c>
      <c r="I49" s="1020">
        <v>18.25</v>
      </c>
      <c r="J49" s="817">
        <f t="shared" si="4"/>
        <v>18.25</v>
      </c>
      <c r="K49" s="761"/>
      <c r="L49" s="761"/>
      <c r="M49" s="761"/>
      <c r="N49" s="761"/>
    </row>
    <row r="50" spans="1:20" s="501" customFormat="1" collapsed="1">
      <c r="A50" s="1091">
        <v>42439</v>
      </c>
      <c r="B50" s="1092" t="s">
        <v>1447</v>
      </c>
      <c r="C50" s="1020"/>
      <c r="D50" s="1020"/>
      <c r="E50" s="1020"/>
      <c r="F50" s="1020"/>
      <c r="G50" s="1020"/>
      <c r="H50" s="1020"/>
      <c r="I50" s="1020">
        <v>22.21</v>
      </c>
      <c r="J50" s="1093">
        <f>SUM(J48:J49)</f>
        <v>30.130000000000003</v>
      </c>
      <c r="K50" s="773">
        <f>VLOOKUP(A50,$N$6:$O$18,2,FALSE)</f>
        <v>131.38999999999999</v>
      </c>
      <c r="L50" s="761"/>
      <c r="M50" s="903"/>
      <c r="N50" s="902"/>
      <c r="O50" s="900"/>
      <c r="P50" s="900"/>
      <c r="Q50" s="900"/>
      <c r="R50" s="900"/>
      <c r="S50" s="900"/>
      <c r="T50" s="900"/>
    </row>
    <row r="51" spans="1:20" s="501" customFormat="1">
      <c r="A51" s="1089"/>
      <c r="B51" s="1020"/>
      <c r="C51" s="1020"/>
      <c r="D51" s="1020"/>
      <c r="E51" s="1020"/>
      <c r="F51" s="1020"/>
      <c r="G51" s="1020"/>
      <c r="H51" s="1020"/>
      <c r="I51" s="1020"/>
      <c r="J51" s="817"/>
      <c r="K51" s="761"/>
      <c r="L51" s="761"/>
      <c r="M51" s="761"/>
      <c r="N51" s="761"/>
    </row>
    <row r="52" spans="1:20" s="501" customFormat="1">
      <c r="A52" s="1089"/>
      <c r="B52" s="1092" t="s">
        <v>1450</v>
      </c>
      <c r="C52" s="1020"/>
      <c r="D52" s="1020"/>
      <c r="E52" s="1020"/>
      <c r="F52" s="1020"/>
      <c r="G52" s="1020"/>
      <c r="H52" s="1020"/>
      <c r="I52" s="1020"/>
      <c r="J52" s="817"/>
      <c r="K52" s="761"/>
      <c r="L52" s="761"/>
      <c r="M52" s="761"/>
      <c r="N52" s="761"/>
    </row>
    <row r="53" spans="1:20" s="501" customFormat="1" hidden="1" outlineLevel="1">
      <c r="A53" s="1089" t="s">
        <v>1656</v>
      </c>
      <c r="B53" s="1086" t="s">
        <v>1657</v>
      </c>
      <c r="C53" s="1020">
        <v>0</v>
      </c>
      <c r="D53" s="1020">
        <v>0</v>
      </c>
      <c r="E53" s="1020">
        <v>0</v>
      </c>
      <c r="F53" s="1020">
        <v>0</v>
      </c>
      <c r="G53" s="1020">
        <v>744</v>
      </c>
      <c r="H53" s="1020">
        <v>0</v>
      </c>
      <c r="I53" s="1020">
        <v>744</v>
      </c>
      <c r="J53" s="817">
        <f t="shared" ref="J53:J61" si="5">ROUND(SUM(($C53/30)+($D53/24)+($E53/18)+$G53+$H53),2)</f>
        <v>744</v>
      </c>
      <c r="K53" s="761"/>
      <c r="L53" s="761"/>
      <c r="M53" s="761"/>
      <c r="N53" s="761"/>
    </row>
    <row r="54" spans="1:20" s="501" customFormat="1" hidden="1" outlineLevel="1">
      <c r="A54" s="1089" t="s">
        <v>1658</v>
      </c>
      <c r="B54" s="1086" t="s">
        <v>1659</v>
      </c>
      <c r="C54" s="1020">
        <v>0</v>
      </c>
      <c r="D54" s="1020">
        <v>0</v>
      </c>
      <c r="E54" s="1020">
        <v>0</v>
      </c>
      <c r="F54" s="1020">
        <v>0</v>
      </c>
      <c r="G54" s="1020">
        <v>420</v>
      </c>
      <c r="H54" s="1020">
        <v>0</v>
      </c>
      <c r="I54" s="1020">
        <v>420</v>
      </c>
      <c r="J54" s="817">
        <f t="shared" si="5"/>
        <v>420</v>
      </c>
      <c r="K54" s="761"/>
      <c r="L54" s="761"/>
      <c r="M54" s="761"/>
      <c r="N54" s="761"/>
    </row>
    <row r="55" spans="1:20" s="501" customFormat="1" hidden="1" outlineLevel="1">
      <c r="A55" s="1089" t="s">
        <v>1660</v>
      </c>
      <c r="B55" s="1086" t="s">
        <v>1659</v>
      </c>
      <c r="C55" s="1020">
        <v>0</v>
      </c>
      <c r="D55" s="1020">
        <v>0</v>
      </c>
      <c r="E55" s="1020">
        <v>0</v>
      </c>
      <c r="F55" s="1020">
        <v>0</v>
      </c>
      <c r="G55" s="1020">
        <v>0</v>
      </c>
      <c r="H55" s="1020">
        <v>95</v>
      </c>
      <c r="I55" s="1020">
        <v>95</v>
      </c>
      <c r="J55" s="817">
        <f t="shared" si="5"/>
        <v>95</v>
      </c>
      <c r="K55" s="761"/>
      <c r="L55" s="761"/>
      <c r="M55" s="761"/>
      <c r="N55" s="761"/>
    </row>
    <row r="56" spans="1:20" s="501" customFormat="1" hidden="1" outlineLevel="1">
      <c r="A56" s="1089" t="s">
        <v>1661</v>
      </c>
      <c r="B56" s="1086" t="s">
        <v>1662</v>
      </c>
      <c r="C56" s="1020">
        <v>0</v>
      </c>
      <c r="D56" s="1020">
        <v>522</v>
      </c>
      <c r="E56" s="1020">
        <v>1837</v>
      </c>
      <c r="F56" s="1020">
        <v>2359</v>
      </c>
      <c r="G56" s="1020">
        <v>0</v>
      </c>
      <c r="H56" s="1020">
        <v>0</v>
      </c>
      <c r="I56" s="1020">
        <v>123.81</v>
      </c>
      <c r="J56" s="817">
        <f t="shared" si="5"/>
        <v>123.81</v>
      </c>
      <c r="K56" s="761"/>
      <c r="L56" s="761"/>
      <c r="M56" s="761"/>
      <c r="N56" s="761"/>
    </row>
    <row r="57" spans="1:20" s="501" customFormat="1" hidden="1" outlineLevel="1">
      <c r="A57" s="1089" t="s">
        <v>1663</v>
      </c>
      <c r="B57" s="1086" t="s">
        <v>1664</v>
      </c>
      <c r="C57" s="1020">
        <v>0</v>
      </c>
      <c r="D57" s="1020">
        <v>164</v>
      </c>
      <c r="E57" s="1020">
        <v>258</v>
      </c>
      <c r="F57" s="1020">
        <v>422</v>
      </c>
      <c r="G57" s="1020">
        <v>0</v>
      </c>
      <c r="H57" s="1020">
        <v>0</v>
      </c>
      <c r="I57" s="1020">
        <v>21.17</v>
      </c>
      <c r="J57" s="817">
        <f t="shared" si="5"/>
        <v>21.17</v>
      </c>
      <c r="K57" s="761"/>
      <c r="L57" s="761"/>
      <c r="M57" s="761"/>
      <c r="N57" s="761"/>
    </row>
    <row r="58" spans="1:20" s="501" customFormat="1" hidden="1" outlineLevel="1">
      <c r="A58" s="1089" t="s">
        <v>1665</v>
      </c>
      <c r="B58" s="1086" t="s">
        <v>1666</v>
      </c>
      <c r="C58" s="1020">
        <v>1960</v>
      </c>
      <c r="D58" s="1020">
        <v>0</v>
      </c>
      <c r="E58" s="1020">
        <v>0</v>
      </c>
      <c r="F58" s="1020">
        <v>1960</v>
      </c>
      <c r="G58" s="1020">
        <v>0</v>
      </c>
      <c r="H58" s="1020">
        <v>0</v>
      </c>
      <c r="I58" s="1020">
        <v>65.33</v>
      </c>
      <c r="J58" s="817">
        <f t="shared" si="5"/>
        <v>65.33</v>
      </c>
      <c r="K58" s="761"/>
      <c r="L58" s="761"/>
      <c r="M58" s="761"/>
      <c r="N58" s="761"/>
    </row>
    <row r="59" spans="1:20" s="501" customFormat="1" hidden="1" outlineLevel="1">
      <c r="A59" s="1089" t="s">
        <v>1667</v>
      </c>
      <c r="B59" s="1086" t="s">
        <v>1668</v>
      </c>
      <c r="C59" s="1020">
        <v>9266</v>
      </c>
      <c r="D59" s="1020">
        <v>1299</v>
      </c>
      <c r="E59" s="1020">
        <v>9</v>
      </c>
      <c r="F59" s="1020">
        <v>10574</v>
      </c>
      <c r="G59" s="1020">
        <v>0</v>
      </c>
      <c r="H59" s="1020">
        <v>0</v>
      </c>
      <c r="I59" s="1020">
        <v>363.49</v>
      </c>
      <c r="J59" s="817">
        <f t="shared" si="5"/>
        <v>363.49</v>
      </c>
      <c r="K59" s="761"/>
      <c r="L59" s="761"/>
      <c r="M59" s="761"/>
      <c r="N59" s="761"/>
    </row>
    <row r="60" spans="1:20" s="501" customFormat="1" hidden="1" outlineLevel="1">
      <c r="A60" s="1089" t="s">
        <v>1669</v>
      </c>
      <c r="B60" s="1086" t="s">
        <v>1670</v>
      </c>
      <c r="C60" s="1020">
        <v>0</v>
      </c>
      <c r="D60" s="1020">
        <v>16472</v>
      </c>
      <c r="E60" s="1020">
        <v>0</v>
      </c>
      <c r="F60" s="1020">
        <v>16472</v>
      </c>
      <c r="G60" s="1020">
        <v>0</v>
      </c>
      <c r="H60" s="1020">
        <v>0</v>
      </c>
      <c r="I60" s="1020">
        <v>686.33</v>
      </c>
      <c r="J60" s="817">
        <f t="shared" si="5"/>
        <v>686.33</v>
      </c>
      <c r="K60" s="761"/>
      <c r="L60" s="761"/>
      <c r="M60" s="761"/>
      <c r="N60" s="761"/>
    </row>
    <row r="61" spans="1:20" s="501" customFormat="1" hidden="1" outlineLevel="1">
      <c r="A61" s="1089" t="s">
        <v>1671</v>
      </c>
      <c r="B61" s="1086" t="s">
        <v>1672</v>
      </c>
      <c r="C61" s="1020">
        <v>7769</v>
      </c>
      <c r="D61" s="1020">
        <v>6826</v>
      </c>
      <c r="E61" s="1020">
        <v>919</v>
      </c>
      <c r="F61" s="1087">
        <v>15514</v>
      </c>
      <c r="G61" s="1020">
        <v>0</v>
      </c>
      <c r="H61" s="1020">
        <v>0</v>
      </c>
      <c r="I61" s="1020">
        <v>594.44000000000005</v>
      </c>
      <c r="J61" s="817">
        <f t="shared" si="5"/>
        <v>594.44000000000005</v>
      </c>
      <c r="K61" s="761"/>
      <c r="L61" s="761"/>
      <c r="M61" s="761"/>
      <c r="N61" s="761"/>
    </row>
    <row r="62" spans="1:20" s="501" customFormat="1" collapsed="1">
      <c r="A62" s="1091">
        <v>89</v>
      </c>
      <c r="B62" s="1092" t="s">
        <v>1450</v>
      </c>
      <c r="C62" s="1020"/>
      <c r="D62" s="1020"/>
      <c r="E62" s="1020"/>
      <c r="F62" s="1020"/>
      <c r="G62" s="1020"/>
      <c r="H62" s="1020"/>
      <c r="I62" s="1022">
        <v>3084.36</v>
      </c>
      <c r="J62" s="1090">
        <f>SUM(J53:J61)</f>
        <v>3113.57</v>
      </c>
      <c r="K62" s="773">
        <f>VLOOKUP(A62,$N$6:$O$18,2,FALSE)</f>
        <v>613.38</v>
      </c>
      <c r="L62" s="761"/>
      <c r="M62" s="761"/>
      <c r="N62" s="761"/>
    </row>
    <row r="63" spans="1:20" s="501" customFormat="1">
      <c r="A63" s="1089"/>
      <c r="B63" s="1020"/>
      <c r="C63" s="1020"/>
      <c r="D63" s="1020"/>
      <c r="E63" s="1020"/>
      <c r="F63" s="1020"/>
      <c r="G63" s="1020"/>
      <c r="H63" s="1020"/>
      <c r="I63" s="1020"/>
      <c r="J63" s="817"/>
      <c r="K63" s="761"/>
      <c r="L63" s="761"/>
      <c r="M63" s="761"/>
      <c r="N63" s="761"/>
    </row>
    <row r="64" spans="1:20" s="501" customFormat="1">
      <c r="A64" s="1089"/>
      <c r="B64" s="1092" t="s">
        <v>1451</v>
      </c>
      <c r="C64" s="1020"/>
      <c r="D64" s="1020"/>
      <c r="E64" s="1020"/>
      <c r="F64" s="1020"/>
      <c r="G64" s="1020"/>
      <c r="H64" s="1020"/>
      <c r="I64" s="1020"/>
      <c r="J64" s="817"/>
      <c r="K64" s="761"/>
      <c r="L64" s="761"/>
      <c r="M64" s="761"/>
      <c r="N64" s="761"/>
    </row>
    <row r="65" spans="1:14" s="501" customFormat="1" hidden="1" outlineLevel="1">
      <c r="A65" s="1089" t="s">
        <v>1673</v>
      </c>
      <c r="B65" s="1086" t="s">
        <v>1674</v>
      </c>
      <c r="C65" s="1020">
        <v>0</v>
      </c>
      <c r="D65" s="1020">
        <v>0</v>
      </c>
      <c r="E65" s="1020">
        <v>0</v>
      </c>
      <c r="F65" s="1020">
        <v>0</v>
      </c>
      <c r="G65" s="1020">
        <v>914</v>
      </c>
      <c r="H65" s="1020">
        <v>0</v>
      </c>
      <c r="I65" s="1020">
        <v>914</v>
      </c>
      <c r="J65" s="817">
        <f t="shared" ref="J65:J69" si="6">ROUND(SUM(($C65/30)+($D65/24)+($E65/18)+$G65+$H65),2)</f>
        <v>914</v>
      </c>
      <c r="K65" s="761"/>
      <c r="L65" s="761"/>
      <c r="M65" s="761"/>
      <c r="N65" s="761"/>
    </row>
    <row r="66" spans="1:14" s="501" customFormat="1" hidden="1" outlineLevel="1">
      <c r="A66" s="1089" t="s">
        <v>1675</v>
      </c>
      <c r="B66" s="1086" t="s">
        <v>1676</v>
      </c>
      <c r="C66" s="1020">
        <v>0</v>
      </c>
      <c r="D66" s="1087">
        <v>9445</v>
      </c>
      <c r="E66" s="1087">
        <v>1976</v>
      </c>
      <c r="F66" s="1087">
        <v>11421</v>
      </c>
      <c r="G66" s="1020">
        <v>0</v>
      </c>
      <c r="H66" s="1020">
        <v>0</v>
      </c>
      <c r="I66" s="1020">
        <v>503.32</v>
      </c>
      <c r="J66" s="817">
        <f t="shared" si="6"/>
        <v>503.32</v>
      </c>
      <c r="K66" s="761"/>
      <c r="L66" s="761"/>
      <c r="M66" s="761"/>
      <c r="N66" s="761"/>
    </row>
    <row r="67" spans="1:14" s="501" customFormat="1" hidden="1" outlineLevel="1">
      <c r="A67" s="1089" t="s">
        <v>1677</v>
      </c>
      <c r="B67" s="1086" t="s">
        <v>1678</v>
      </c>
      <c r="C67" s="1020">
        <v>0</v>
      </c>
      <c r="D67" s="1087">
        <v>13685</v>
      </c>
      <c r="E67" s="1020">
        <v>0</v>
      </c>
      <c r="F67" s="1087">
        <v>13685</v>
      </c>
      <c r="G67" s="1020">
        <v>0</v>
      </c>
      <c r="H67" s="1020">
        <v>0</v>
      </c>
      <c r="I67" s="1020">
        <v>570.21</v>
      </c>
      <c r="J67" s="817">
        <f t="shared" si="6"/>
        <v>570.21</v>
      </c>
      <c r="K67" s="761"/>
      <c r="L67" s="761"/>
      <c r="M67" s="761"/>
      <c r="N67" s="761"/>
    </row>
    <row r="68" spans="1:14" s="501" customFormat="1" hidden="1" outlineLevel="1">
      <c r="A68" s="1089" t="s">
        <v>1679</v>
      </c>
      <c r="B68" s="1086" t="s">
        <v>1680</v>
      </c>
      <c r="C68" s="1020">
        <v>0</v>
      </c>
      <c r="D68" s="1087">
        <v>15170</v>
      </c>
      <c r="E68" s="1020">
        <v>0</v>
      </c>
      <c r="F68" s="1087">
        <v>15170</v>
      </c>
      <c r="G68" s="1020">
        <v>0</v>
      </c>
      <c r="H68" s="1020">
        <v>0</v>
      </c>
      <c r="I68" s="1020">
        <v>632.08000000000004</v>
      </c>
      <c r="J68" s="817">
        <f t="shared" si="6"/>
        <v>632.08000000000004</v>
      </c>
      <c r="K68" s="761"/>
      <c r="L68" s="761"/>
      <c r="M68" s="761"/>
      <c r="N68" s="761"/>
    </row>
    <row r="69" spans="1:14" s="501" customFormat="1" hidden="1" outlineLevel="1">
      <c r="A69" s="1089" t="s">
        <v>1681</v>
      </c>
      <c r="B69" s="1086" t="s">
        <v>1682</v>
      </c>
      <c r="C69" s="1020">
        <v>0</v>
      </c>
      <c r="D69" s="1087">
        <v>4904</v>
      </c>
      <c r="E69" s="1020">
        <v>221</v>
      </c>
      <c r="F69" s="1087">
        <v>5125</v>
      </c>
      <c r="G69" s="1020">
        <v>0</v>
      </c>
      <c r="H69" s="1020">
        <v>0</v>
      </c>
      <c r="I69" s="1020">
        <v>216.61</v>
      </c>
      <c r="J69" s="817">
        <f t="shared" si="6"/>
        <v>216.61</v>
      </c>
      <c r="K69" s="761"/>
      <c r="L69" s="761"/>
      <c r="M69" s="761"/>
      <c r="N69" s="761"/>
    </row>
    <row r="70" spans="1:14" s="501" customFormat="1" collapsed="1">
      <c r="A70" s="1091">
        <v>130</v>
      </c>
      <c r="B70" s="1092" t="s">
        <v>1451</v>
      </c>
      <c r="C70" s="1020"/>
      <c r="D70" s="1020"/>
      <c r="E70" s="1020"/>
      <c r="F70" s="1020"/>
      <c r="G70" s="1020"/>
      <c r="H70" s="1020"/>
      <c r="I70" s="1022">
        <v>2888.65</v>
      </c>
      <c r="J70" s="1090">
        <f>SUM(J65:J69)</f>
        <v>2836.2200000000003</v>
      </c>
      <c r="K70" s="773">
        <f>VLOOKUP(A70,$N$6:$O$18,2,FALSE)</f>
        <v>417.99</v>
      </c>
      <c r="L70" s="761"/>
      <c r="M70" s="761"/>
      <c r="N70" s="761"/>
    </row>
    <row r="71" spans="1:14" s="501" customFormat="1">
      <c r="A71" s="1089"/>
      <c r="B71" s="1020"/>
      <c r="C71" s="1020"/>
      <c r="D71" s="1020"/>
      <c r="E71" s="1020"/>
      <c r="F71" s="1020"/>
      <c r="G71" s="1020"/>
      <c r="H71" s="1020"/>
      <c r="I71" s="1020"/>
      <c r="J71" s="817"/>
      <c r="K71" s="761"/>
      <c r="L71" s="761"/>
      <c r="M71" s="761"/>
      <c r="N71" s="761"/>
    </row>
    <row r="72" spans="1:14" s="501" customFormat="1">
      <c r="A72" s="1089"/>
      <c r="B72" s="1092" t="s">
        <v>1452</v>
      </c>
      <c r="C72" s="1020"/>
      <c r="D72" s="1020"/>
      <c r="E72" s="1020"/>
      <c r="F72" s="1020"/>
      <c r="G72" s="1020"/>
      <c r="H72" s="1020"/>
      <c r="I72" s="1020"/>
      <c r="J72" s="817"/>
      <c r="K72" s="761"/>
      <c r="L72" s="761"/>
      <c r="M72" s="761"/>
      <c r="N72" s="761"/>
    </row>
    <row r="73" spans="1:14" s="501" customFormat="1" hidden="1" outlineLevel="1">
      <c r="A73" s="1089" t="s">
        <v>1683</v>
      </c>
      <c r="B73" s="1086" t="s">
        <v>1684</v>
      </c>
      <c r="C73" s="1020">
        <v>0</v>
      </c>
      <c r="D73" s="1020">
        <v>0</v>
      </c>
      <c r="E73" s="1020">
        <v>0</v>
      </c>
      <c r="F73" s="1020">
        <v>0</v>
      </c>
      <c r="G73" s="1020">
        <v>724</v>
      </c>
      <c r="H73" s="1020">
        <v>0</v>
      </c>
      <c r="I73" s="1020">
        <v>724</v>
      </c>
      <c r="J73" s="817">
        <f t="shared" ref="J73:J78" si="7">ROUND(SUM(($C73/30)+($D73/24)+($E73/18)+$G73+$H73),2)</f>
        <v>724</v>
      </c>
      <c r="K73" s="761"/>
      <c r="L73" s="761"/>
      <c r="M73" s="761"/>
      <c r="N73" s="761"/>
    </row>
    <row r="74" spans="1:14" s="501" customFormat="1" hidden="1" outlineLevel="1">
      <c r="A74" s="1089" t="s">
        <v>1685</v>
      </c>
      <c r="B74" s="1086" t="s">
        <v>1686</v>
      </c>
      <c r="C74" s="1020">
        <v>0</v>
      </c>
      <c r="D74" s="1020">
        <v>953</v>
      </c>
      <c r="E74" s="1020">
        <v>2039</v>
      </c>
      <c r="F74" s="1020">
        <v>2992</v>
      </c>
      <c r="G74" s="1020">
        <v>0</v>
      </c>
      <c r="H74" s="1020">
        <v>0</v>
      </c>
      <c r="I74" s="1020">
        <v>152.99</v>
      </c>
      <c r="J74" s="817">
        <f t="shared" si="7"/>
        <v>152.99</v>
      </c>
      <c r="K74" s="761"/>
      <c r="L74" s="761"/>
      <c r="M74" s="761"/>
      <c r="N74" s="761"/>
    </row>
    <row r="75" spans="1:14" s="501" customFormat="1" hidden="1" outlineLevel="1">
      <c r="A75" s="1089" t="s">
        <v>1687</v>
      </c>
      <c r="B75" s="1086" t="s">
        <v>1688</v>
      </c>
      <c r="C75" s="1020">
        <v>7135</v>
      </c>
      <c r="D75" s="1020">
        <v>31117</v>
      </c>
      <c r="E75" s="1020">
        <v>736</v>
      </c>
      <c r="F75" s="1020">
        <v>38988</v>
      </c>
      <c r="G75" s="1020">
        <v>0</v>
      </c>
      <c r="H75" s="1020">
        <v>0</v>
      </c>
      <c r="I75" s="1020">
        <v>1575.26</v>
      </c>
      <c r="J75" s="817">
        <f t="shared" si="7"/>
        <v>1575.26</v>
      </c>
      <c r="K75" s="761"/>
      <c r="L75" s="761"/>
      <c r="M75" s="761"/>
      <c r="N75" s="761"/>
    </row>
    <row r="76" spans="1:14" s="501" customFormat="1" hidden="1" outlineLevel="1">
      <c r="A76" s="1089" t="s">
        <v>1689</v>
      </c>
      <c r="B76" s="1086" t="s">
        <v>1690</v>
      </c>
      <c r="C76" s="1020">
        <v>49452</v>
      </c>
      <c r="D76" s="1020">
        <v>11816</v>
      </c>
      <c r="E76" s="1020">
        <v>1094</v>
      </c>
      <c r="F76" s="1020">
        <v>62362</v>
      </c>
      <c r="G76" s="1020">
        <v>0</v>
      </c>
      <c r="H76" s="1020">
        <v>0</v>
      </c>
      <c r="I76" s="1020">
        <v>2201.5100000000002</v>
      </c>
      <c r="J76" s="817">
        <f t="shared" si="7"/>
        <v>2201.5100000000002</v>
      </c>
      <c r="K76" s="761"/>
      <c r="L76" s="761"/>
      <c r="M76" s="761"/>
      <c r="N76" s="761"/>
    </row>
    <row r="77" spans="1:14" s="501" customFormat="1" hidden="1" outlineLevel="1">
      <c r="A77" s="1089" t="s">
        <v>1691</v>
      </c>
      <c r="B77" s="1086" t="s">
        <v>1692</v>
      </c>
      <c r="C77" s="1020">
        <v>0</v>
      </c>
      <c r="D77" s="1020">
        <v>25038</v>
      </c>
      <c r="E77" s="1020">
        <v>0</v>
      </c>
      <c r="F77" s="1087">
        <v>25038</v>
      </c>
      <c r="G77" s="1020">
        <v>0</v>
      </c>
      <c r="H77" s="1020">
        <v>0</v>
      </c>
      <c r="I77" s="1020">
        <v>1043.25</v>
      </c>
      <c r="J77" s="817">
        <f t="shared" si="7"/>
        <v>1043.25</v>
      </c>
      <c r="K77" s="761"/>
      <c r="L77" s="761"/>
      <c r="M77" s="761"/>
      <c r="N77" s="761"/>
    </row>
    <row r="78" spans="1:14" s="501" customFormat="1" hidden="1" outlineLevel="1">
      <c r="A78" s="1089" t="s">
        <v>1693</v>
      </c>
      <c r="B78" s="1086" t="s">
        <v>1694</v>
      </c>
      <c r="C78" s="1020">
        <v>0</v>
      </c>
      <c r="D78" s="1020">
        <v>934</v>
      </c>
      <c r="E78" s="1020">
        <v>0</v>
      </c>
      <c r="F78" s="1020">
        <v>934</v>
      </c>
      <c r="G78" s="1020">
        <v>0</v>
      </c>
      <c r="H78" s="1020">
        <v>0</v>
      </c>
      <c r="I78" s="1020">
        <v>38.92</v>
      </c>
      <c r="J78" s="817">
        <f t="shared" si="7"/>
        <v>38.92</v>
      </c>
      <c r="K78" s="761"/>
      <c r="L78" s="761"/>
      <c r="M78" s="761"/>
      <c r="N78" s="761"/>
    </row>
    <row r="79" spans="1:14" s="501" customFormat="1" collapsed="1">
      <c r="A79" s="1091">
        <v>412</v>
      </c>
      <c r="B79" s="1092" t="s">
        <v>1452</v>
      </c>
      <c r="C79" s="1020"/>
      <c r="D79" s="1020"/>
      <c r="E79" s="1020"/>
      <c r="F79" s="1020"/>
      <c r="G79" s="1020"/>
      <c r="H79" s="1020"/>
      <c r="I79" s="1022">
        <v>5438.54</v>
      </c>
      <c r="J79" s="1090">
        <f>SUM(J73:J78)</f>
        <v>5735.93</v>
      </c>
      <c r="K79" s="773">
        <f>VLOOKUP(A79,$N$6:$O$18,2,FALSE)</f>
        <v>762.67</v>
      </c>
      <c r="L79" s="761"/>
      <c r="M79" s="761"/>
      <c r="N79" s="761"/>
    </row>
    <row r="80" spans="1:14" s="501" customFormat="1">
      <c r="A80" s="1089"/>
      <c r="B80" s="1020"/>
      <c r="C80" s="1020"/>
      <c r="D80" s="1020"/>
      <c r="E80" s="1020"/>
      <c r="F80" s="1020"/>
      <c r="G80" s="1020"/>
      <c r="H80" s="1020"/>
      <c r="I80" s="1020"/>
      <c r="J80" s="817"/>
      <c r="K80" s="761"/>
      <c r="L80" s="761"/>
      <c r="M80" s="761"/>
      <c r="N80" s="761"/>
    </row>
    <row r="81" spans="1:14" s="501" customFormat="1">
      <c r="A81" s="1089"/>
      <c r="B81" s="1092" t="s">
        <v>1453</v>
      </c>
      <c r="C81" s="1020"/>
      <c r="D81" s="1020"/>
      <c r="E81" s="1020"/>
      <c r="F81" s="1020"/>
      <c r="G81" s="1020"/>
      <c r="H81" s="1020"/>
      <c r="I81" s="1020"/>
      <c r="J81" s="817"/>
      <c r="K81" s="761"/>
      <c r="L81" s="761"/>
      <c r="M81" s="761"/>
      <c r="N81" s="761"/>
    </row>
    <row r="82" spans="1:14" s="501" customFormat="1" hidden="1" outlineLevel="1">
      <c r="A82" s="1089">
        <v>418</v>
      </c>
      <c r="B82" s="1086" t="s">
        <v>1454</v>
      </c>
      <c r="C82" s="1020">
        <v>0</v>
      </c>
      <c r="D82" s="1020">
        <v>0</v>
      </c>
      <c r="E82" s="1020">
        <v>0</v>
      </c>
      <c r="F82" s="1020">
        <v>0</v>
      </c>
      <c r="G82" s="1020">
        <v>414</v>
      </c>
      <c r="H82" s="1020">
        <v>0</v>
      </c>
      <c r="I82" s="1020">
        <v>414</v>
      </c>
      <c r="J82" s="817">
        <f t="shared" ref="J82:J84" si="8">ROUND(SUM(($C82/30)+($D82/24)+($E82/18)+$G82+$H82),2)</f>
        <v>414</v>
      </c>
      <c r="K82" s="761"/>
      <c r="L82" s="761"/>
      <c r="M82" s="761"/>
      <c r="N82" s="761"/>
    </row>
    <row r="83" spans="1:14" s="501" customFormat="1" hidden="1" outlineLevel="1">
      <c r="A83" s="1089">
        <v>420</v>
      </c>
      <c r="B83" s="1086" t="s">
        <v>1455</v>
      </c>
      <c r="C83" s="1087">
        <v>8538</v>
      </c>
      <c r="D83" s="1020">
        <v>51</v>
      </c>
      <c r="E83" s="1020">
        <v>0</v>
      </c>
      <c r="F83" s="1087">
        <v>8589</v>
      </c>
      <c r="G83" s="1020">
        <v>0</v>
      </c>
      <c r="H83" s="1020">
        <v>0</v>
      </c>
      <c r="I83" s="1020">
        <v>286.73</v>
      </c>
      <c r="J83" s="817">
        <f t="shared" si="8"/>
        <v>286.73</v>
      </c>
      <c r="K83" s="761"/>
      <c r="L83" s="761"/>
      <c r="M83" s="761"/>
      <c r="N83" s="761"/>
    </row>
    <row r="84" spans="1:14" s="501" customFormat="1" hidden="1" outlineLevel="1">
      <c r="A84" s="1089">
        <v>422</v>
      </c>
      <c r="B84" s="1086" t="s">
        <v>1456</v>
      </c>
      <c r="C84" s="1020">
        <v>0</v>
      </c>
      <c r="D84" s="1020">
        <v>878</v>
      </c>
      <c r="E84" s="1020">
        <v>0</v>
      </c>
      <c r="F84" s="1020">
        <v>878</v>
      </c>
      <c r="G84" s="1020">
        <v>0</v>
      </c>
      <c r="H84" s="1020">
        <v>0</v>
      </c>
      <c r="I84" s="1020">
        <v>36.58</v>
      </c>
      <c r="J84" s="817">
        <f t="shared" si="8"/>
        <v>36.58</v>
      </c>
      <c r="K84" s="761"/>
      <c r="L84" s="761"/>
      <c r="M84" s="761"/>
      <c r="N84" s="761"/>
    </row>
    <row r="85" spans="1:14" s="501" customFormat="1" collapsed="1">
      <c r="A85" s="1091">
        <v>862</v>
      </c>
      <c r="B85" s="1092" t="s">
        <v>1453</v>
      </c>
      <c r="C85" s="1020"/>
      <c r="D85" s="1020"/>
      <c r="E85" s="1020"/>
      <c r="F85" s="1020"/>
      <c r="G85" s="1020"/>
      <c r="H85" s="1020"/>
      <c r="I85" s="1020">
        <v>657.23</v>
      </c>
      <c r="J85" s="1090">
        <f>SUM(J82:J84)</f>
        <v>737.31000000000006</v>
      </c>
      <c r="K85" s="773">
        <f>VLOOKUP(A85,$N$6:$O$18,2,FALSE)</f>
        <v>280.64</v>
      </c>
      <c r="L85" s="761"/>
      <c r="M85" s="761"/>
      <c r="N85" s="761"/>
    </row>
    <row r="86" spans="1:14" s="501" customFormat="1">
      <c r="A86" s="1089"/>
      <c r="B86" s="1020"/>
      <c r="C86" s="1020"/>
      <c r="D86" s="1020"/>
      <c r="E86" s="1020"/>
      <c r="F86" s="1020"/>
      <c r="G86" s="1020"/>
      <c r="H86" s="1020"/>
      <c r="I86" s="1020"/>
      <c r="J86" s="817"/>
      <c r="K86" s="761"/>
      <c r="L86" s="761"/>
      <c r="M86" s="761"/>
      <c r="N86" s="761"/>
    </row>
    <row r="87" spans="1:14" s="501" customFormat="1">
      <c r="A87" s="1089"/>
      <c r="B87" s="1092" t="s">
        <v>1457</v>
      </c>
      <c r="C87" s="1020"/>
      <c r="D87" s="1020"/>
      <c r="E87" s="1020"/>
      <c r="F87" s="1020"/>
      <c r="G87" s="1020"/>
      <c r="H87" s="1020"/>
      <c r="I87" s="1020"/>
      <c r="J87" s="817"/>
      <c r="K87" s="761"/>
      <c r="L87" s="761"/>
      <c r="M87" s="761"/>
      <c r="N87" s="761"/>
    </row>
    <row r="88" spans="1:14" s="501" customFormat="1">
      <c r="A88" s="1089"/>
      <c r="B88" s="1086" t="s">
        <v>1454</v>
      </c>
      <c r="C88" s="1020">
        <v>0</v>
      </c>
      <c r="D88" s="1020">
        <v>0</v>
      </c>
      <c r="E88" s="1020">
        <v>0</v>
      </c>
      <c r="F88" s="1020">
        <v>0</v>
      </c>
      <c r="G88" s="1020">
        <v>101</v>
      </c>
      <c r="H88" s="1020">
        <v>0</v>
      </c>
      <c r="I88" s="1020">
        <v>101</v>
      </c>
      <c r="J88" s="817">
        <f>ROUND(SUM(($C88/30)+($D88/24)+($E88/18)+$G88+$H88),2)</f>
        <v>101</v>
      </c>
      <c r="K88" s="761"/>
      <c r="L88" s="761"/>
      <c r="M88" s="761"/>
      <c r="N88" s="761"/>
    </row>
    <row r="89" spans="1:14" s="501" customFormat="1">
      <c r="A89" s="1091">
        <v>203599</v>
      </c>
      <c r="B89" s="1092" t="s">
        <v>1457</v>
      </c>
      <c r="C89" s="1020"/>
      <c r="D89" s="1020"/>
      <c r="E89" s="1020"/>
      <c r="F89" s="1020"/>
      <c r="G89" s="1020"/>
      <c r="H89" s="1020"/>
      <c r="I89" s="1020">
        <v>55</v>
      </c>
      <c r="J89" s="1090">
        <f>SUM(J88)</f>
        <v>101</v>
      </c>
      <c r="K89" s="773">
        <f>VLOOKUP(A89,$N$6:$O$18,2,FALSE)</f>
        <v>86.15</v>
      </c>
      <c r="L89" s="761"/>
      <c r="M89" s="761"/>
      <c r="N89" s="761"/>
    </row>
    <row r="90" spans="1:14" s="501" customFormat="1">
      <c r="A90" s="1089"/>
      <c r="B90" s="1020"/>
      <c r="C90" s="1020"/>
      <c r="D90" s="1020"/>
      <c r="E90" s="1020"/>
      <c r="F90" s="1020"/>
      <c r="G90" s="1020"/>
      <c r="H90" s="1020"/>
      <c r="I90" s="1020"/>
      <c r="J90" s="817"/>
      <c r="K90" s="761"/>
      <c r="L90" s="761"/>
      <c r="M90" s="761"/>
      <c r="N90" s="761"/>
    </row>
    <row r="91" spans="1:14" s="501" customFormat="1">
      <c r="A91" s="1089"/>
      <c r="B91" s="1092" t="s">
        <v>1466</v>
      </c>
      <c r="C91" s="1020"/>
      <c r="D91" s="1020"/>
      <c r="E91" s="1020"/>
      <c r="F91" s="1020"/>
      <c r="G91" s="1020"/>
      <c r="H91" s="1020"/>
      <c r="I91" s="1020"/>
      <c r="J91" s="817"/>
      <c r="K91" s="761"/>
      <c r="L91" s="761"/>
      <c r="M91" s="761"/>
      <c r="N91" s="761"/>
    </row>
    <row r="92" spans="1:14" s="501" customFormat="1">
      <c r="A92" s="1089"/>
      <c r="B92" s="1086" t="s">
        <v>1454</v>
      </c>
      <c r="C92" s="1020">
        <v>0</v>
      </c>
      <c r="D92" s="1020">
        <v>0</v>
      </c>
      <c r="E92" s="1020">
        <v>0</v>
      </c>
      <c r="F92" s="1020">
        <v>0</v>
      </c>
      <c r="G92" s="1020">
        <v>100</v>
      </c>
      <c r="H92" s="1020">
        <v>0</v>
      </c>
      <c r="I92" s="1020">
        <v>100</v>
      </c>
      <c r="J92" s="817">
        <f>ROUND(SUM(($C92/30)+($D92/24)+($E92/18)+$G92+$H92),2)</f>
        <v>100</v>
      </c>
      <c r="K92" s="761"/>
      <c r="L92" s="761"/>
      <c r="M92" s="761"/>
      <c r="N92" s="761"/>
    </row>
    <row r="93" spans="1:14" s="501" customFormat="1">
      <c r="A93" s="1091">
        <v>203658</v>
      </c>
      <c r="B93" s="1092" t="s">
        <v>1466</v>
      </c>
      <c r="C93" s="1020"/>
      <c r="D93" s="1020"/>
      <c r="E93" s="1020"/>
      <c r="F93" s="1020"/>
      <c r="G93" s="1020"/>
      <c r="H93" s="1020"/>
      <c r="I93" s="1020">
        <v>50</v>
      </c>
      <c r="J93" s="1090">
        <f>SUM(J92)</f>
        <v>100</v>
      </c>
      <c r="K93" s="773">
        <f>VLOOKUP(A93,$N$6:$O$18,2,FALSE)</f>
        <v>88.85</v>
      </c>
      <c r="L93" s="761"/>
      <c r="M93" s="761"/>
      <c r="N93" s="761"/>
    </row>
    <row r="94" spans="1:14" s="501" customFormat="1">
      <c r="A94" s="1089"/>
      <c r="B94" s="1020"/>
      <c r="C94" s="1020"/>
      <c r="D94" s="1020"/>
      <c r="E94" s="1020"/>
      <c r="F94" s="1020"/>
      <c r="G94" s="1020"/>
      <c r="H94" s="1020"/>
      <c r="I94" s="1020"/>
      <c r="J94" s="817"/>
      <c r="K94" s="761"/>
      <c r="L94" s="761"/>
      <c r="M94" s="761"/>
      <c r="N94" s="761"/>
    </row>
    <row r="95" spans="1:14" s="501" customFormat="1">
      <c r="A95" s="1020"/>
      <c r="B95" s="1086" t="s">
        <v>1458</v>
      </c>
      <c r="C95" s="1087">
        <f t="shared" ref="C95:H95" si="9">SUM(C6:C94)</f>
        <v>184857</v>
      </c>
      <c r="D95" s="1087">
        <f t="shared" si="9"/>
        <v>253061</v>
      </c>
      <c r="E95" s="1087">
        <f t="shared" si="9"/>
        <v>47657</v>
      </c>
      <c r="F95" s="1087">
        <f t="shared" si="9"/>
        <v>485575</v>
      </c>
      <c r="G95" s="1087">
        <f t="shared" si="9"/>
        <v>7966</v>
      </c>
      <c r="H95" s="1020">
        <f t="shared" si="9"/>
        <v>289</v>
      </c>
      <c r="I95" s="1022">
        <f>SUM(I6:I94)/2</f>
        <v>27123.65500000001</v>
      </c>
      <c r="J95" s="1090">
        <f>J93+J89+J85+J79+J70+J62+J50+J45+J41+J30+J18+J9</f>
        <v>27608.73</v>
      </c>
      <c r="K95" s="1090"/>
      <c r="L95" s="761"/>
      <c r="M95" s="761"/>
      <c r="N95" s="761"/>
    </row>
    <row r="96" spans="1:14" s="501" customFormat="1">
      <c r="A96" s="1020"/>
      <c r="B96" s="1020"/>
      <c r="C96" s="1020"/>
      <c r="D96" s="1020"/>
      <c r="E96" s="1020"/>
      <c r="F96" s="1020"/>
      <c r="G96" s="1020"/>
      <c r="H96" s="1020"/>
      <c r="I96" s="1020"/>
      <c r="J96" s="817"/>
      <c r="K96" s="761"/>
      <c r="L96" s="761"/>
      <c r="M96" s="761"/>
      <c r="N96" s="761"/>
    </row>
    <row r="97" spans="1:21" s="501" customFormat="1">
      <c r="A97" s="1020"/>
      <c r="B97" s="1020"/>
      <c r="C97" s="1020"/>
      <c r="D97" s="1020"/>
      <c r="E97" s="1020"/>
      <c r="F97" s="1020"/>
      <c r="G97" s="1020"/>
      <c r="H97" s="1020"/>
      <c r="I97" s="1020"/>
      <c r="J97" s="817"/>
      <c r="K97" s="761"/>
      <c r="L97" s="761"/>
      <c r="M97" s="761"/>
      <c r="N97" s="761"/>
    </row>
    <row r="98" spans="1:21" s="501" customFormat="1">
      <c r="A98" s="1086" t="s">
        <v>1459</v>
      </c>
      <c r="B98" s="1020"/>
      <c r="C98" s="1020"/>
      <c r="D98" s="1020"/>
      <c r="E98" s="1020"/>
      <c r="F98" s="1020"/>
      <c r="G98" s="1020"/>
      <c r="H98" s="1020"/>
      <c r="I98" s="1020"/>
      <c r="J98" s="817"/>
      <c r="K98" s="761"/>
      <c r="L98" s="761"/>
      <c r="M98" s="761"/>
      <c r="N98" s="761"/>
    </row>
    <row r="99" spans="1:21" s="501" customFormat="1">
      <c r="A99" s="1086" t="s">
        <v>1460</v>
      </c>
      <c r="B99" s="1020"/>
      <c r="C99" s="1020"/>
      <c r="D99" s="1020"/>
      <c r="E99" s="1020"/>
      <c r="F99" s="1020"/>
      <c r="G99" s="1020"/>
      <c r="H99" s="1020"/>
      <c r="I99" s="1020"/>
      <c r="J99" s="817"/>
      <c r="K99" s="761"/>
      <c r="L99" s="761"/>
      <c r="M99" s="761"/>
      <c r="N99" s="761"/>
    </row>
    <row r="100" spans="1:21" s="501" customFormat="1">
      <c r="A100" s="1086" t="s">
        <v>1461</v>
      </c>
      <c r="B100" s="1020"/>
      <c r="C100" s="1020"/>
      <c r="D100" s="1020"/>
      <c r="E100" s="1020"/>
      <c r="F100" s="1020"/>
      <c r="G100" s="1020"/>
      <c r="H100" s="1020"/>
      <c r="I100" s="1020"/>
      <c r="J100" s="817"/>
      <c r="K100" s="761"/>
      <c r="L100" s="761"/>
      <c r="M100" s="761"/>
      <c r="N100" s="761"/>
    </row>
    <row r="101" spans="1:21" s="501" customFormat="1">
      <c r="A101" s="1086" t="s">
        <v>1462</v>
      </c>
      <c r="B101" s="1020"/>
      <c r="C101" s="1020"/>
      <c r="D101" s="1020"/>
      <c r="E101" s="1020"/>
      <c r="F101" s="1020"/>
      <c r="G101" s="1020"/>
      <c r="H101" s="1020"/>
      <c r="I101" s="1020"/>
      <c r="J101" s="817"/>
      <c r="K101" s="761"/>
      <c r="L101" s="761"/>
      <c r="M101" s="761"/>
      <c r="N101" s="761"/>
    </row>
    <row r="102" spans="1:21" s="501" customFormat="1">
      <c r="A102" s="1086" t="s">
        <v>1463</v>
      </c>
      <c r="B102" s="1020"/>
      <c r="C102" s="1020"/>
      <c r="D102" s="1020"/>
      <c r="E102" s="1020"/>
      <c r="F102" s="1020"/>
      <c r="G102" s="1020"/>
      <c r="H102" s="1020"/>
      <c r="I102" s="1020"/>
      <c r="J102" s="817"/>
      <c r="K102" s="761"/>
      <c r="L102" s="761"/>
      <c r="M102" s="761"/>
      <c r="N102" s="761"/>
    </row>
    <row r="103" spans="1:21" s="501" customFormat="1">
      <c r="A103" s="1020"/>
      <c r="B103" s="1020"/>
      <c r="C103" s="1020"/>
      <c r="D103" s="1020"/>
      <c r="E103" s="1020"/>
      <c r="F103" s="1020"/>
      <c r="G103" s="1020"/>
      <c r="H103" s="1020"/>
      <c r="I103" s="1020"/>
      <c r="J103" s="817"/>
      <c r="K103" s="761"/>
      <c r="L103" s="761"/>
      <c r="M103" s="761"/>
      <c r="N103" s="761"/>
    </row>
    <row r="104" spans="1:21" s="501" customFormat="1">
      <c r="A104" s="1086" t="s">
        <v>1464</v>
      </c>
      <c r="B104" s="1020"/>
      <c r="C104" s="1020"/>
      <c r="D104" s="1020"/>
      <c r="E104" s="1020"/>
      <c r="F104" s="1020"/>
      <c r="G104" s="1020"/>
      <c r="H104" s="1020"/>
      <c r="I104" s="1020"/>
      <c r="J104" s="817"/>
      <c r="K104" s="761"/>
      <c r="L104" s="761"/>
      <c r="M104" s="761"/>
      <c r="N104" s="761"/>
    </row>
    <row r="105" spans="1:21" s="501" customFormat="1">
      <c r="A105" s="1086" t="s">
        <v>1465</v>
      </c>
      <c r="B105" s="1020"/>
      <c r="C105" s="1020"/>
      <c r="D105" s="1020"/>
      <c r="E105" s="1020"/>
      <c r="F105" s="1020"/>
      <c r="G105" s="1020"/>
      <c r="H105" s="1020"/>
      <c r="I105" s="1020"/>
      <c r="J105" s="817"/>
      <c r="K105" s="761"/>
      <c r="L105" s="761"/>
      <c r="M105" s="761"/>
      <c r="N105" s="761"/>
    </row>
    <row r="106" spans="1:21" s="501" customFormat="1">
      <c r="A106" s="936"/>
      <c r="B106" s="936"/>
      <c r="C106" s="633"/>
      <c r="D106" s="1084"/>
      <c r="E106" s="1084"/>
      <c r="F106" s="1084"/>
      <c r="G106" s="1084"/>
      <c r="H106" s="1084"/>
      <c r="I106" s="1084"/>
      <c r="J106" s="505">
        <f>J95</f>
        <v>27608.73</v>
      </c>
      <c r="K106" s="505">
        <f>SUM(K7:K105)</f>
        <v>10948.399999999998</v>
      </c>
      <c r="L106" s="761"/>
      <c r="M106" s="761"/>
      <c r="N106" s="761"/>
    </row>
    <row r="107" spans="1:21" s="501" customFormat="1">
      <c r="A107" s="936"/>
      <c r="B107" s="936"/>
      <c r="C107" s="51">
        <v>184857</v>
      </c>
      <c r="D107" s="1083">
        <v>253061</v>
      </c>
      <c r="E107" s="1083">
        <v>47657</v>
      </c>
      <c r="F107" s="1083">
        <v>485575</v>
      </c>
      <c r="G107" s="1083">
        <v>7966</v>
      </c>
      <c r="H107" s="1083">
        <v>289</v>
      </c>
      <c r="I107" s="1094">
        <v>27123.65500000001</v>
      </c>
      <c r="J107" s="1099">
        <v>27608.73</v>
      </c>
      <c r="K107" s="761">
        <v>10948.399999999998</v>
      </c>
      <c r="L107" s="761"/>
      <c r="M107" s="761"/>
      <c r="N107" s="761"/>
    </row>
    <row r="108" spans="1:21" s="501" customFormat="1">
      <c r="A108" s="936"/>
      <c r="B108" s="936"/>
      <c r="C108" s="1095">
        <f t="shared" ref="C108:I108" si="10">C95-C107</f>
        <v>0</v>
      </c>
      <c r="D108" s="1095">
        <f t="shared" si="10"/>
        <v>0</v>
      </c>
      <c r="E108" s="1095">
        <f t="shared" si="10"/>
        <v>0</v>
      </c>
      <c r="F108" s="1095">
        <f t="shared" si="10"/>
        <v>0</v>
      </c>
      <c r="G108" s="1095">
        <f t="shared" si="10"/>
        <v>0</v>
      </c>
      <c r="H108" s="1095">
        <f t="shared" si="10"/>
        <v>0</v>
      </c>
      <c r="I108" s="1095">
        <f t="shared" si="10"/>
        <v>0</v>
      </c>
      <c r="J108" s="1099">
        <f>J107-J106</f>
        <v>0</v>
      </c>
      <c r="K108" s="864">
        <f>K106-K107</f>
        <v>0</v>
      </c>
      <c r="L108" s="761"/>
      <c r="M108" s="761"/>
      <c r="N108" s="761"/>
    </row>
    <row r="109" spans="1:21" s="501" customFormat="1">
      <c r="A109" s="936"/>
      <c r="B109" s="936"/>
      <c r="C109" s="633"/>
      <c r="D109" s="1084"/>
      <c r="E109" s="1084"/>
      <c r="F109" s="1084"/>
      <c r="G109" s="1084"/>
      <c r="H109" s="1084"/>
      <c r="I109" s="1084"/>
      <c r="J109" s="1100" t="s">
        <v>1293</v>
      </c>
      <c r="K109" s="1081" t="s">
        <v>1187</v>
      </c>
      <c r="L109" s="761"/>
      <c r="M109" s="761"/>
      <c r="N109" s="761"/>
    </row>
    <row r="110" spans="1:21" s="501" customFormat="1" ht="13.5" thickBot="1">
      <c r="A110" s="936"/>
      <c r="B110" s="1082"/>
      <c r="C110" s="633"/>
      <c r="D110" s="1084"/>
      <c r="E110" s="1084"/>
      <c r="F110" s="1084"/>
      <c r="G110" s="1084"/>
      <c r="H110" s="1084"/>
      <c r="I110" s="1084"/>
      <c r="J110" s="1024">
        <v>43447</v>
      </c>
      <c r="K110" s="863">
        <v>43451</v>
      </c>
      <c r="L110" s="761"/>
      <c r="M110" s="761"/>
      <c r="N110" s="761"/>
    </row>
    <row r="111" spans="1:21" customFormat="1" ht="17.25" customHeight="1" thickBot="1">
      <c r="A111" s="936"/>
      <c r="B111" s="936"/>
      <c r="C111" s="506"/>
      <c r="D111" s="504" t="s">
        <v>1060</v>
      </c>
      <c r="E111" s="1095"/>
      <c r="F111" s="1095"/>
      <c r="G111" s="1095"/>
      <c r="H111" s="1095"/>
      <c r="I111" s="1095">
        <f>J111-J106</f>
        <v>0</v>
      </c>
      <c r="J111" s="1025">
        <f>'Smmy Sum'!$C$18</f>
        <v>27608.730000000007</v>
      </c>
      <c r="K111" s="906" t="s">
        <v>1700</v>
      </c>
      <c r="L111" s="761"/>
      <c r="M111" s="898"/>
      <c r="N111" s="761"/>
      <c r="O111" s="501"/>
      <c r="P111" s="501"/>
      <c r="Q111" s="501"/>
      <c r="R111" s="501"/>
      <c r="S111" s="501"/>
    </row>
    <row r="112" spans="1:21" s="50" customFormat="1" ht="13.5" thickBot="1">
      <c r="A112" s="498"/>
      <c r="B112" s="815"/>
      <c r="E112" s="894" t="s">
        <v>1283</v>
      </c>
      <c r="F112" s="895"/>
      <c r="G112" s="895"/>
      <c r="H112" s="895"/>
      <c r="I112" s="896"/>
      <c r="J112" s="501"/>
      <c r="K112" s="501"/>
      <c r="L112" s="774"/>
      <c r="M112" s="761"/>
      <c r="N112" s="761"/>
      <c r="O112" s="761"/>
      <c r="P112" s="761"/>
      <c r="Q112" s="506"/>
      <c r="R112" s="506"/>
      <c r="S112" s="506"/>
      <c r="T112" s="506"/>
      <c r="U112" s="506"/>
    </row>
    <row r="113" spans="1:22" s="50" customFormat="1">
      <c r="A113" s="498"/>
      <c r="B113" s="815"/>
      <c r="C113" s="504"/>
      <c r="D113" s="731" t="s">
        <v>1270</v>
      </c>
      <c r="E113" s="731" t="s">
        <v>1271</v>
      </c>
      <c r="F113" s="731" t="s">
        <v>1272</v>
      </c>
      <c r="G113" s="731" t="s">
        <v>1273</v>
      </c>
      <c r="H113" s="731" t="s">
        <v>1274</v>
      </c>
      <c r="I113" s="731" t="s">
        <v>1275</v>
      </c>
      <c r="J113" s="732" t="s">
        <v>1276</v>
      </c>
      <c r="K113" s="731" t="s">
        <v>1269</v>
      </c>
      <c r="L113" s="774"/>
      <c r="M113" s="761"/>
      <c r="N113" s="761"/>
      <c r="O113" s="761"/>
      <c r="P113" s="761"/>
      <c r="Q113" s="506"/>
      <c r="R113" s="506"/>
      <c r="S113" s="506"/>
      <c r="T113" s="506"/>
      <c r="U113" s="506"/>
    </row>
    <row r="114" spans="1:22" s="50" customFormat="1" ht="42" customHeight="1" thickBot="1">
      <c r="A114" s="498"/>
      <c r="B114" s="815"/>
      <c r="C114" s="498"/>
      <c r="D114" s="631" t="s">
        <v>1061</v>
      </c>
      <c r="E114" s="631" t="s">
        <v>1062</v>
      </c>
      <c r="F114" s="631" t="s">
        <v>1063</v>
      </c>
      <c r="G114" s="631" t="s">
        <v>1064</v>
      </c>
      <c r="H114" s="889" t="s">
        <v>1065</v>
      </c>
      <c r="I114" s="889" t="s">
        <v>1066</v>
      </c>
      <c r="J114" s="889" t="s">
        <v>1067</v>
      </c>
      <c r="K114" s="632" t="s">
        <v>1068</v>
      </c>
      <c r="L114" s="501"/>
      <c r="M114" s="774"/>
      <c r="N114" s="761"/>
      <c r="O114" s="761"/>
      <c r="P114" s="761"/>
      <c r="Q114" s="761"/>
      <c r="R114" s="506"/>
      <c r="S114" s="506"/>
      <c r="T114" s="506"/>
      <c r="U114" s="506"/>
      <c r="V114" s="506"/>
    </row>
    <row r="115" spans="1:22" s="50" customFormat="1">
      <c r="A115" s="815">
        <v>30</v>
      </c>
      <c r="B115" s="633" t="s">
        <v>1069</v>
      </c>
      <c r="D115" s="891">
        <f>J6</f>
        <v>939</v>
      </c>
      <c r="E115" s="892" t="s">
        <v>213</v>
      </c>
      <c r="F115" s="891">
        <f>J7</f>
        <v>719.47</v>
      </c>
      <c r="G115" s="891">
        <f>J8</f>
        <v>508.21</v>
      </c>
      <c r="H115" s="892" t="s">
        <v>213</v>
      </c>
      <c r="I115" s="892" t="s">
        <v>213</v>
      </c>
      <c r="J115" s="893" t="s">
        <v>213</v>
      </c>
      <c r="K115" s="890">
        <f t="shared" ref="K115:K128" si="11">SUM(D115:J115)</f>
        <v>2166.6799999999998</v>
      </c>
      <c r="L115" s="503">
        <f>K115-J9</f>
        <v>0</v>
      </c>
      <c r="M115" s="774"/>
      <c r="N115" s="761"/>
      <c r="O115" s="761"/>
      <c r="P115" s="761"/>
      <c r="Q115" s="761"/>
      <c r="R115" s="506"/>
      <c r="S115" s="506"/>
      <c r="T115" s="506"/>
      <c r="U115" s="506"/>
      <c r="V115" s="506"/>
    </row>
    <row r="116" spans="1:22" s="50" customFormat="1">
      <c r="A116" s="815">
        <v>40</v>
      </c>
      <c r="B116" s="633" t="s">
        <v>1070</v>
      </c>
      <c r="D116" s="634">
        <f>SUM(J33:J33)</f>
        <v>858</v>
      </c>
      <c r="E116" s="634">
        <f>SUM(J34:J35)</f>
        <v>538</v>
      </c>
      <c r="F116" s="634">
        <f>J36</f>
        <v>309.04000000000002</v>
      </c>
      <c r="G116" s="634">
        <f>SUM(J37:J39)</f>
        <v>1291.5399999999997</v>
      </c>
      <c r="H116" s="634">
        <f>J40</f>
        <v>831.32</v>
      </c>
      <c r="I116" s="880" t="s">
        <v>213</v>
      </c>
      <c r="J116" s="883" t="s">
        <v>213</v>
      </c>
      <c r="K116" s="882">
        <f t="shared" si="11"/>
        <v>3827.9</v>
      </c>
      <c r="L116" s="503">
        <f>K116-J41</f>
        <v>0</v>
      </c>
      <c r="M116" s="774"/>
      <c r="N116" s="761"/>
      <c r="O116" s="761"/>
      <c r="P116" s="761"/>
      <c r="Q116" s="761"/>
      <c r="R116" s="506"/>
      <c r="S116" s="506"/>
      <c r="T116" s="506"/>
      <c r="U116" s="506"/>
      <c r="V116" s="506"/>
    </row>
    <row r="117" spans="1:22" s="50" customFormat="1">
      <c r="A117" s="815">
        <v>89</v>
      </c>
      <c r="B117" s="633" t="s">
        <v>1071</v>
      </c>
      <c r="D117" s="634">
        <f>SUM($J$53:$J$53)</f>
        <v>744</v>
      </c>
      <c r="E117" s="634">
        <f>SUM(J54:J55)</f>
        <v>515</v>
      </c>
      <c r="F117" s="634">
        <f>SUM(J56:J57)</f>
        <v>144.98000000000002</v>
      </c>
      <c r="G117" s="634">
        <f>J58</f>
        <v>65.33</v>
      </c>
      <c r="H117" s="634">
        <f>J59</f>
        <v>363.49</v>
      </c>
      <c r="I117" s="634">
        <f>J61</f>
        <v>594.44000000000005</v>
      </c>
      <c r="J117" s="884">
        <f>J60</f>
        <v>686.33</v>
      </c>
      <c r="K117" s="882">
        <f t="shared" si="11"/>
        <v>3113.5699999999997</v>
      </c>
      <c r="L117" s="503">
        <f>K117-J62</f>
        <v>0</v>
      </c>
      <c r="M117" s="774"/>
      <c r="N117" s="761"/>
      <c r="O117" s="761"/>
      <c r="P117" s="761"/>
      <c r="Q117" s="761"/>
      <c r="R117" s="506"/>
      <c r="S117" s="506"/>
      <c r="T117" s="506"/>
      <c r="U117" s="506"/>
      <c r="V117" s="506"/>
    </row>
    <row r="118" spans="1:22" s="50" customFormat="1">
      <c r="A118" s="815">
        <v>130</v>
      </c>
      <c r="B118" s="633" t="s">
        <v>1072</v>
      </c>
      <c r="D118" s="634">
        <f>$J$65</f>
        <v>914</v>
      </c>
      <c r="E118" s="880" t="s">
        <v>213</v>
      </c>
      <c r="F118" s="634">
        <f>J66</f>
        <v>503.32</v>
      </c>
      <c r="G118" s="634">
        <f>J67</f>
        <v>570.21</v>
      </c>
      <c r="H118" s="880" t="s">
        <v>213</v>
      </c>
      <c r="I118" s="634">
        <f>J69</f>
        <v>216.61</v>
      </c>
      <c r="J118" s="884">
        <f>J68</f>
        <v>632.08000000000004</v>
      </c>
      <c r="K118" s="882">
        <f t="shared" si="11"/>
        <v>2836.22</v>
      </c>
      <c r="L118" s="503">
        <f>K118-J70</f>
        <v>0</v>
      </c>
      <c r="M118" s="774"/>
      <c r="N118" s="761"/>
      <c r="O118" s="761"/>
      <c r="P118" s="761"/>
      <c r="Q118" s="761"/>
      <c r="R118" s="506"/>
      <c r="S118" s="506"/>
      <c r="T118" s="506"/>
      <c r="U118" s="506"/>
      <c r="V118" s="506"/>
    </row>
    <row r="119" spans="1:22" s="50" customFormat="1">
      <c r="A119" s="815">
        <v>412</v>
      </c>
      <c r="B119" s="633" t="s">
        <v>1073</v>
      </c>
      <c r="D119" s="634">
        <f>J73</f>
        <v>724</v>
      </c>
      <c r="E119" s="880" t="s">
        <v>213</v>
      </c>
      <c r="F119" s="634">
        <f>J74</f>
        <v>152.99</v>
      </c>
      <c r="G119" s="634">
        <f>J75</f>
        <v>1575.26</v>
      </c>
      <c r="H119" s="634">
        <f>J76</f>
        <v>2201.5100000000002</v>
      </c>
      <c r="I119" s="634">
        <f>J78</f>
        <v>38.92</v>
      </c>
      <c r="J119" s="884">
        <f>J77</f>
        <v>1043.25</v>
      </c>
      <c r="K119" s="882">
        <f t="shared" si="11"/>
        <v>5735.93</v>
      </c>
      <c r="L119" s="503">
        <f>K119-J79</f>
        <v>0</v>
      </c>
      <c r="M119" s="774"/>
      <c r="N119" s="761"/>
      <c r="O119" s="761"/>
      <c r="P119" s="761"/>
      <c r="Q119" s="761"/>
      <c r="R119" s="506"/>
      <c r="S119" s="506"/>
      <c r="T119" s="506"/>
      <c r="U119" s="506"/>
      <c r="V119" s="506"/>
    </row>
    <row r="120" spans="1:22" s="51" customFormat="1">
      <c r="A120" s="937">
        <v>862</v>
      </c>
      <c r="B120" s="51" t="s">
        <v>1317</v>
      </c>
      <c r="D120" s="941">
        <f>J82</f>
        <v>414</v>
      </c>
      <c r="E120" s="880" t="s">
        <v>213</v>
      </c>
      <c r="F120" s="1117">
        <f>J84</f>
        <v>36.58</v>
      </c>
      <c r="G120" s="880" t="s">
        <v>213</v>
      </c>
      <c r="H120" s="941">
        <f>J83</f>
        <v>286.73</v>
      </c>
      <c r="I120" s="880" t="s">
        <v>213</v>
      </c>
      <c r="J120" s="880" t="s">
        <v>213</v>
      </c>
      <c r="K120" s="882">
        <f t="shared" si="11"/>
        <v>737.31</v>
      </c>
      <c r="L120" s="503">
        <f>K120-J85</f>
        <v>0</v>
      </c>
      <c r="M120" s="938"/>
      <c r="N120" s="939"/>
      <c r="O120" s="939"/>
      <c r="P120" s="939"/>
      <c r="Q120" s="939"/>
      <c r="R120" s="940"/>
      <c r="S120" s="940"/>
      <c r="T120" s="940"/>
      <c r="U120" s="940"/>
      <c r="V120" s="940"/>
    </row>
    <row r="121" spans="1:22" s="50" customFormat="1">
      <c r="A121" s="815">
        <v>11618</v>
      </c>
      <c r="B121" s="633" t="s">
        <v>1074</v>
      </c>
      <c r="D121" s="634">
        <f>$J$21</f>
        <v>967</v>
      </c>
      <c r="E121" s="634">
        <f>SUM(J22:J23)</f>
        <v>496</v>
      </c>
      <c r="F121" s="634">
        <f>SUM(J24:J25)</f>
        <v>480.46999999999997</v>
      </c>
      <c r="G121" s="634">
        <f>SUM(J26:J27)</f>
        <v>241.26999999999998</v>
      </c>
      <c r="H121" s="634">
        <f>J28</f>
        <v>1692.26</v>
      </c>
      <c r="I121" s="634">
        <f>J29</f>
        <v>1010.89</v>
      </c>
      <c r="J121" s="883" t="s">
        <v>213</v>
      </c>
      <c r="K121" s="882">
        <f t="shared" si="11"/>
        <v>4887.8900000000003</v>
      </c>
      <c r="L121" s="503">
        <f>K121-J30</f>
        <v>0</v>
      </c>
      <c r="M121" s="774"/>
      <c r="N121" s="761"/>
      <c r="O121" s="761"/>
      <c r="P121" s="761"/>
      <c r="Q121" s="761"/>
      <c r="R121" s="506"/>
      <c r="S121" s="506"/>
      <c r="T121" s="506"/>
      <c r="U121" s="506"/>
      <c r="V121" s="506"/>
    </row>
    <row r="122" spans="1:22" s="50" customFormat="1">
      <c r="A122" s="815">
        <v>25554</v>
      </c>
      <c r="B122" t="s">
        <v>1075</v>
      </c>
      <c r="D122" s="880" t="s">
        <v>213</v>
      </c>
      <c r="E122" s="880" t="s">
        <v>213</v>
      </c>
      <c r="F122" s="880" t="s">
        <v>213</v>
      </c>
      <c r="G122" s="636">
        <f>J44</f>
        <v>378.18</v>
      </c>
      <c r="H122" s="880" t="s">
        <v>213</v>
      </c>
      <c r="I122" s="880" t="s">
        <v>213</v>
      </c>
      <c r="J122" s="883" t="s">
        <v>213</v>
      </c>
      <c r="K122" s="882">
        <f t="shared" si="11"/>
        <v>378.18</v>
      </c>
      <c r="L122" s="503">
        <f>K122-J45</f>
        <v>0</v>
      </c>
      <c r="M122" s="774"/>
      <c r="N122" s="761"/>
      <c r="O122" s="761"/>
      <c r="P122" s="761"/>
      <c r="Q122" s="761"/>
      <c r="R122" s="506"/>
      <c r="S122" s="506"/>
      <c r="T122" s="506"/>
      <c r="U122" s="506"/>
      <c r="V122" s="506"/>
    </row>
    <row r="123" spans="1:22" s="50" customFormat="1">
      <c r="A123" s="815">
        <v>42439</v>
      </c>
      <c r="B123" t="s">
        <v>118</v>
      </c>
      <c r="D123" s="880" t="s">
        <v>213</v>
      </c>
      <c r="E123" s="880" t="s">
        <v>213</v>
      </c>
      <c r="F123" s="634">
        <f>SUM(J48:J48)</f>
        <v>11.88</v>
      </c>
      <c r="G123" s="880" t="s">
        <v>213</v>
      </c>
      <c r="H123" s="880" t="s">
        <v>213</v>
      </c>
      <c r="I123" s="1117">
        <f>J49</f>
        <v>18.25</v>
      </c>
      <c r="J123" s="883" t="s">
        <v>213</v>
      </c>
      <c r="K123" s="882">
        <f>SUM(D123:J123)</f>
        <v>30.130000000000003</v>
      </c>
      <c r="L123" s="503">
        <f>K123-J50</f>
        <v>0</v>
      </c>
      <c r="M123" s="774"/>
      <c r="N123" s="761"/>
      <c r="O123" s="761"/>
      <c r="P123" s="761"/>
      <c r="Q123" s="761"/>
      <c r="R123" s="506"/>
      <c r="S123" s="506"/>
      <c r="T123" s="506"/>
      <c r="U123" s="506"/>
      <c r="V123" s="506"/>
    </row>
    <row r="124" spans="1:22" s="305" customFormat="1">
      <c r="A124" s="942">
        <v>104952</v>
      </c>
      <c r="B124" s="12" t="s">
        <v>1076</v>
      </c>
      <c r="D124" s="634">
        <f>SUM(J12:J13)</f>
        <v>945</v>
      </c>
      <c r="E124" s="880" t="s">
        <v>213</v>
      </c>
      <c r="F124" s="634">
        <f>J14</f>
        <v>271.92</v>
      </c>
      <c r="G124" s="634">
        <f>J15</f>
        <v>1236.22</v>
      </c>
      <c r="H124" s="634">
        <f>J16</f>
        <v>1205.6500000000001</v>
      </c>
      <c r="I124" s="634">
        <f>J17</f>
        <v>35.130000000000003</v>
      </c>
      <c r="J124" s="880" t="s">
        <v>213</v>
      </c>
      <c r="K124" s="943">
        <f>SUM(D124:J124)</f>
        <v>3693.9200000000005</v>
      </c>
      <c r="L124" s="944">
        <f>K124-J18</f>
        <v>0</v>
      </c>
      <c r="M124" s="945"/>
      <c r="N124" s="946"/>
      <c r="O124" s="946"/>
      <c r="P124" s="946"/>
      <c r="Q124" s="946"/>
      <c r="R124" s="947"/>
      <c r="S124" s="947"/>
      <c r="T124" s="947"/>
      <c r="U124" s="947"/>
      <c r="V124" s="947"/>
    </row>
    <row r="125" spans="1:22" s="50" customFormat="1">
      <c r="A125" s="815">
        <v>203599</v>
      </c>
      <c r="B125" s="50" t="s">
        <v>1319</v>
      </c>
      <c r="D125" s="634">
        <f>J88</f>
        <v>101</v>
      </c>
      <c r="E125" s="880" t="s">
        <v>213</v>
      </c>
      <c r="F125" s="880" t="s">
        <v>213</v>
      </c>
      <c r="G125" s="880" t="s">
        <v>213</v>
      </c>
      <c r="H125" s="880" t="s">
        <v>213</v>
      </c>
      <c r="I125" s="880" t="s">
        <v>213</v>
      </c>
      <c r="J125" s="880" t="s">
        <v>213</v>
      </c>
      <c r="K125" s="943">
        <f>SUM(D125:J125)</f>
        <v>101</v>
      </c>
      <c r="L125" s="503">
        <f>K125-J89</f>
        <v>0</v>
      </c>
      <c r="M125" s="774"/>
      <c r="N125" s="761"/>
      <c r="O125" s="761"/>
      <c r="P125" s="761"/>
      <c r="Q125" s="761"/>
      <c r="R125" s="506"/>
      <c r="S125" s="506"/>
      <c r="T125" s="506"/>
      <c r="U125" s="506"/>
      <c r="V125" s="506"/>
    </row>
    <row r="126" spans="1:22" s="50" customFormat="1">
      <c r="A126" s="815">
        <v>203658</v>
      </c>
      <c r="B126" s="50" t="s">
        <v>1318</v>
      </c>
      <c r="D126" s="634">
        <f>J92</f>
        <v>100</v>
      </c>
      <c r="E126" s="880" t="s">
        <v>213</v>
      </c>
      <c r="F126" s="880" t="s">
        <v>213</v>
      </c>
      <c r="G126" s="880" t="s">
        <v>213</v>
      </c>
      <c r="H126" s="880" t="s">
        <v>213</v>
      </c>
      <c r="I126" s="880" t="s">
        <v>213</v>
      </c>
      <c r="J126" s="880" t="s">
        <v>213</v>
      </c>
      <c r="K126" s="943">
        <f t="shared" ref="K126" si="12">SUM(D126:J126)</f>
        <v>100</v>
      </c>
      <c r="L126" s="503">
        <f>K126-J93</f>
        <v>0</v>
      </c>
      <c r="M126" s="774"/>
      <c r="N126" s="761"/>
      <c r="O126" s="761"/>
      <c r="P126" s="761"/>
      <c r="Q126" s="761"/>
      <c r="R126" s="506"/>
      <c r="S126" s="506"/>
      <c r="T126" s="506"/>
      <c r="U126" s="506"/>
      <c r="V126" s="506"/>
    </row>
    <row r="127" spans="1:22" s="50" customFormat="1">
      <c r="A127" s="498"/>
      <c r="B127" s="815"/>
      <c r="C127"/>
      <c r="D127" s="881"/>
      <c r="E127" s="881"/>
      <c r="F127" s="881"/>
      <c r="G127" s="881"/>
      <c r="H127" s="881"/>
      <c r="I127" s="881"/>
      <c r="J127" s="885"/>
      <c r="K127" s="948"/>
      <c r="L127" s="949"/>
      <c r="M127" s="774"/>
      <c r="N127" s="761"/>
      <c r="O127" s="761"/>
      <c r="P127" s="761"/>
      <c r="Q127" s="761"/>
      <c r="R127" s="506"/>
      <c r="S127" s="506"/>
      <c r="T127" s="506"/>
      <c r="U127" s="506"/>
      <c r="V127" s="506"/>
    </row>
    <row r="128" spans="1:22" s="50" customFormat="1" ht="13.5" thickBot="1">
      <c r="A128" s="498"/>
      <c r="B128" s="815"/>
      <c r="C128" s="501"/>
      <c r="D128" s="887">
        <f t="shared" ref="D128:J128" si="13">SUM(D115:D127)</f>
        <v>6706</v>
      </c>
      <c r="E128" s="887">
        <f t="shared" si="13"/>
        <v>1549</v>
      </c>
      <c r="F128" s="887">
        <f t="shared" si="13"/>
        <v>2630.65</v>
      </c>
      <c r="G128" s="887">
        <f t="shared" si="13"/>
        <v>5866.22</v>
      </c>
      <c r="H128" s="887">
        <f t="shared" si="13"/>
        <v>6580.9600000000009</v>
      </c>
      <c r="I128" s="887">
        <f t="shared" si="13"/>
        <v>1914.2400000000002</v>
      </c>
      <c r="J128" s="888">
        <f t="shared" si="13"/>
        <v>2361.66</v>
      </c>
      <c r="K128" s="886">
        <f t="shared" si="11"/>
        <v>27608.730000000003</v>
      </c>
      <c r="L128" s="503">
        <f>K128-J106</f>
        <v>0</v>
      </c>
      <c r="M128" s="774"/>
      <c r="N128" s="761"/>
      <c r="O128" s="761"/>
      <c r="P128" s="761"/>
      <c r="Q128" s="761"/>
      <c r="R128" s="506"/>
      <c r="S128" s="506"/>
      <c r="T128" s="506"/>
      <c r="U128" s="506"/>
      <c r="V128" s="506"/>
    </row>
    <row r="129" spans="1:21" s="50" customFormat="1">
      <c r="A129" s="498"/>
      <c r="B129" s="815"/>
      <c r="J129" s="501"/>
      <c r="K129" s="501"/>
      <c r="L129" s="774"/>
      <c r="M129" s="761"/>
      <c r="N129" s="761"/>
      <c r="O129" s="761"/>
      <c r="P129" s="761"/>
      <c r="Q129" s="506"/>
      <c r="R129" s="506"/>
      <c r="S129" s="506"/>
      <c r="T129" s="506"/>
      <c r="U129" s="506"/>
    </row>
    <row r="130" spans="1:21" s="50" customFormat="1">
      <c r="A130" s="498"/>
      <c r="B130" s="815"/>
      <c r="D130" s="1013"/>
      <c r="E130" s="1013"/>
      <c r="J130" s="501"/>
      <c r="K130" s="897"/>
      <c r="L130" s="774"/>
      <c r="M130" s="761"/>
      <c r="N130" s="761"/>
      <c r="O130" s="761"/>
      <c r="P130" s="761"/>
      <c r="Q130" s="506"/>
      <c r="R130" s="506"/>
      <c r="S130" s="506"/>
      <c r="T130" s="506"/>
      <c r="U130" s="506"/>
    </row>
    <row r="131" spans="1:21" s="50" customFormat="1">
      <c r="A131" s="498"/>
      <c r="B131" s="815"/>
      <c r="E131" s="1013"/>
      <c r="J131" s="501"/>
      <c r="K131" s="501">
        <v>27608.730000000003</v>
      </c>
      <c r="L131" s="774"/>
      <c r="M131" s="761"/>
      <c r="N131" s="761"/>
      <c r="O131" s="761"/>
      <c r="P131" s="761"/>
      <c r="Q131" s="506"/>
      <c r="R131" s="506"/>
      <c r="S131" s="506"/>
      <c r="T131" s="506"/>
      <c r="U131" s="506"/>
    </row>
    <row r="132" spans="1:21" s="50" customFormat="1">
      <c r="A132" s="498"/>
      <c r="B132" s="815"/>
      <c r="J132" s="501"/>
      <c r="K132" s="503">
        <f>K128-K131</f>
        <v>0</v>
      </c>
      <c r="L132" s="774"/>
      <c r="M132" s="761"/>
      <c r="N132" s="761"/>
      <c r="O132" s="761"/>
      <c r="P132" s="761"/>
      <c r="Q132" s="506"/>
      <c r="R132" s="506"/>
      <c r="S132" s="506"/>
      <c r="T132" s="506"/>
      <c r="U132" s="506"/>
    </row>
    <row r="133" spans="1:21" s="50" customFormat="1">
      <c r="A133" s="498"/>
      <c r="B133" s="815"/>
      <c r="C133" s="50" t="s">
        <v>1357</v>
      </c>
      <c r="D133" s="1013">
        <f>D128+E128</f>
        <v>8255</v>
      </c>
      <c r="J133" s="501"/>
      <c r="K133" s="501"/>
      <c r="L133" s="774"/>
      <c r="M133" s="761"/>
      <c r="N133" s="761"/>
      <c r="O133" s="761"/>
      <c r="P133" s="761"/>
      <c r="Q133" s="506"/>
      <c r="R133" s="506"/>
      <c r="S133" s="506"/>
      <c r="T133" s="506"/>
      <c r="U133" s="506"/>
    </row>
    <row r="134" spans="1:21" s="50" customFormat="1">
      <c r="A134" s="498"/>
      <c r="B134" s="815"/>
      <c r="J134" s="501"/>
      <c r="K134" s="501"/>
      <c r="L134" s="774"/>
      <c r="M134" s="761"/>
      <c r="N134" s="761"/>
      <c r="O134" s="761"/>
      <c r="P134" s="761"/>
      <c r="Q134" s="506"/>
      <c r="R134" s="506"/>
      <c r="S134" s="506"/>
      <c r="T134" s="506"/>
      <c r="U134" s="506"/>
    </row>
    <row r="135" spans="1:21" s="50" customFormat="1">
      <c r="A135" s="498"/>
      <c r="B135" s="815"/>
      <c r="J135" s="501"/>
      <c r="K135" s="501"/>
      <c r="L135" s="774"/>
      <c r="M135" s="761"/>
      <c r="N135" s="761"/>
      <c r="O135" s="761"/>
      <c r="P135" s="761"/>
      <c r="Q135" s="506"/>
      <c r="R135" s="506"/>
      <c r="S135" s="506"/>
      <c r="T135" s="506"/>
      <c r="U135" s="506"/>
    </row>
    <row r="136" spans="1:21" s="50" customFormat="1">
      <c r="A136" s="498"/>
      <c r="B136" s="815"/>
      <c r="J136" s="501"/>
      <c r="K136" s="501"/>
      <c r="L136" s="774"/>
      <c r="M136" s="761"/>
      <c r="N136" s="761"/>
      <c r="O136" s="761"/>
      <c r="P136" s="761"/>
      <c r="Q136" s="506"/>
      <c r="R136" s="506"/>
      <c r="S136" s="506"/>
      <c r="T136" s="506"/>
      <c r="U136" s="506"/>
    </row>
    <row r="137" spans="1:21" s="50" customFormat="1">
      <c r="A137" s="498"/>
      <c r="B137" s="815"/>
      <c r="J137" s="501"/>
      <c r="K137" s="501"/>
      <c r="L137" s="774"/>
      <c r="M137" s="761"/>
      <c r="N137" s="761"/>
      <c r="O137" s="761"/>
      <c r="P137" s="761"/>
      <c r="Q137" s="506"/>
      <c r="R137" s="506"/>
      <c r="S137" s="506"/>
      <c r="T137" s="506"/>
      <c r="U137" s="506"/>
    </row>
    <row r="138" spans="1:21" s="50" customFormat="1">
      <c r="A138" s="498"/>
      <c r="B138" s="815"/>
      <c r="D138" s="635"/>
      <c r="E138" s="635"/>
      <c r="F138" s="635"/>
      <c r="G138" s="635"/>
      <c r="H138" s="635"/>
      <c r="J138" s="501"/>
      <c r="K138" s="501"/>
      <c r="L138" s="774"/>
      <c r="M138" s="761"/>
      <c r="N138" s="761"/>
      <c r="O138" s="761"/>
      <c r="P138" s="761"/>
      <c r="Q138" s="506"/>
      <c r="R138" s="506"/>
      <c r="S138" s="506"/>
      <c r="T138" s="506"/>
      <c r="U138" s="506"/>
    </row>
    <row r="139" spans="1:21" s="50" customFormat="1">
      <c r="A139" s="498"/>
      <c r="B139" s="815"/>
      <c r="J139" s="501"/>
      <c r="K139" s="501"/>
      <c r="L139" s="774"/>
      <c r="M139" s="761"/>
      <c r="N139" s="761"/>
      <c r="O139" s="761"/>
      <c r="P139" s="761"/>
      <c r="Q139" s="506"/>
      <c r="R139" s="506"/>
      <c r="S139" s="506"/>
      <c r="T139" s="506"/>
      <c r="U139" s="506"/>
    </row>
    <row r="140" spans="1:21">
      <c r="B140" s="815"/>
    </row>
  </sheetData>
  <sortState ref="N7:Q16">
    <sortCondition ref="N7:N16"/>
  </sortState>
  <hyperlinks>
    <hyperlink ref="J1" location="Index!A1" display="Return to Index"/>
  </hyperlinks>
  <printOptions horizontalCentered="1"/>
  <pageMargins left="0.5" right="0.5" top="0.5" bottom="0.5" header="0.5" footer="0.25"/>
  <pageSetup scale="87" orientation="portrait" horizontalDpi="300" verticalDpi="300" r:id="rId1"/>
  <headerFooter alignWithMargins="0">
    <oddFooter>&amp;L&amp;9  --THECB  11/15/10&amp;R&amp;9HRSCHLevFYStateFunded.xls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zoomScale="90" zoomScaleNormal="90" workbookViewId="0">
      <pane ySplit="3" topLeftCell="A4" activePane="bottomLeft" state="frozen"/>
      <selection activeCell="C36" sqref="C36"/>
      <selection pane="bottomLeft" activeCell="C36" sqref="C36"/>
    </sheetView>
  </sheetViews>
  <sheetFormatPr defaultRowHeight="12.75"/>
  <cols>
    <col min="1" max="1" width="9.140625" style="491"/>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866" t="s">
        <v>1262</v>
      </c>
      <c r="I1" s="737" t="s">
        <v>1123</v>
      </c>
    </row>
    <row r="3" spans="1:10" ht="33" customHeight="1">
      <c r="D3" s="867" t="s">
        <v>1089</v>
      </c>
      <c r="E3" s="868" t="s">
        <v>1263</v>
      </c>
      <c r="F3" s="868" t="s">
        <v>1264</v>
      </c>
      <c r="G3" s="868" t="s">
        <v>1265</v>
      </c>
      <c r="H3" s="868" t="s">
        <v>1266</v>
      </c>
      <c r="I3" s="868" t="s">
        <v>1268</v>
      </c>
      <c r="J3" s="868" t="s">
        <v>1267</v>
      </c>
    </row>
    <row r="5" spans="1:10" ht="30.75" thickBot="1">
      <c r="A5" s="447">
        <v>390</v>
      </c>
      <c r="B5" s="445" t="s">
        <v>1203</v>
      </c>
      <c r="C5" s="446" t="s">
        <v>328</v>
      </c>
      <c r="D5" s="869" t="str">
        <f>'SWM Sum'!$F$83</f>
        <v>Balanced</v>
      </c>
      <c r="E5" s="869" t="str">
        <f>'SWM FGD'!$M$107</f>
        <v>Balanced</v>
      </c>
      <c r="F5" s="491" t="str">
        <f>'SWM FGD'!$L$107</f>
        <v>Balanced</v>
      </c>
      <c r="G5" s="491" t="str">
        <f>'SWM FGD'!$Q$36</f>
        <v>Balanced</v>
      </c>
      <c r="H5" s="491" t="str">
        <f>'SWM FGD'!$R$36</f>
        <v>Balanced</v>
      </c>
      <c r="I5" s="870" t="str">
        <f>'SWM FGD'!$P$76</f>
        <v>Balanced</v>
      </c>
      <c r="J5" s="491" t="str">
        <f>'SWM FGD'!$Y$78</f>
        <v>Balanced</v>
      </c>
    </row>
    <row r="6" spans="1:10" ht="30.75" thickBot="1">
      <c r="A6" s="447">
        <v>400</v>
      </c>
      <c r="B6" s="445" t="s">
        <v>97</v>
      </c>
      <c r="C6" s="446" t="s">
        <v>329</v>
      </c>
      <c r="D6" s="869" t="str">
        <f>'MBG Sum'!$F$83</f>
        <v>Balanced</v>
      </c>
      <c r="E6" s="869" t="str">
        <f>'MBG FGD'!$M$107</f>
        <v>Balanced</v>
      </c>
      <c r="F6" s="491" t="str">
        <f>'MBG FGD'!$L$107</f>
        <v>Balanced</v>
      </c>
      <c r="G6" s="491" t="str">
        <f>'MBG FGD'!$Q$36</f>
        <v>Balanced</v>
      </c>
      <c r="H6" s="491" t="str">
        <f>'MBG FGD'!$R$36</f>
        <v>Balanced</v>
      </c>
      <c r="I6" s="870" t="str">
        <f>'MBG FGD'!$P$76</f>
        <v>Balanced</v>
      </c>
      <c r="J6" s="491" t="str">
        <f>'MBG FGD'!$Y$78</f>
        <v>Balanced</v>
      </c>
    </row>
    <row r="7" spans="1:10" ht="30.75" thickBot="1">
      <c r="A7" s="447">
        <v>410</v>
      </c>
      <c r="B7" s="445" t="s">
        <v>98</v>
      </c>
      <c r="C7" s="446" t="s">
        <v>330</v>
      </c>
      <c r="D7" s="869" t="str">
        <f>'HSH Sum'!$F$83</f>
        <v>Balanced</v>
      </c>
      <c r="E7" s="869" t="str">
        <f>'HSH FGD'!$M$107</f>
        <v>Balanced</v>
      </c>
      <c r="F7" s="491" t="str">
        <f>'HSH FGD'!$L$107</f>
        <v>Balanced</v>
      </c>
      <c r="G7" s="491" t="str">
        <f>'HSH FGD'!$Q$36</f>
        <v>Balanced</v>
      </c>
      <c r="H7" s="491" t="str">
        <f>'HSH FGD'!$R$36</f>
        <v>Balanced</v>
      </c>
      <c r="I7" s="870" t="str">
        <f>'HSH FGD'!$P$76</f>
        <v>Balanced</v>
      </c>
      <c r="J7" s="491" t="str">
        <f>'HSH FGD'!$Y$78</f>
        <v>Balanced</v>
      </c>
    </row>
    <row r="8" spans="1:10" ht="30.75" thickBot="1">
      <c r="A8" s="447">
        <v>420</v>
      </c>
      <c r="B8" s="445" t="s">
        <v>99</v>
      </c>
      <c r="C8" s="446" t="s">
        <v>331</v>
      </c>
      <c r="D8" s="869" t="str">
        <f>'HSSA Sum'!$F$83</f>
        <v>Balanced</v>
      </c>
      <c r="E8" s="869" t="str">
        <f>'HSSA FGD'!$M$107</f>
        <v>Balanced</v>
      </c>
      <c r="F8" s="491" t="str">
        <f>'HSSA FGD'!$L$107</f>
        <v>Balanced</v>
      </c>
      <c r="G8" s="491" t="str">
        <f>'HSSA FGD'!$Q$36</f>
        <v>Balanced</v>
      </c>
      <c r="H8" s="491" t="str">
        <f>'HSSA FGD'!$R$36</f>
        <v>Balanced</v>
      </c>
      <c r="I8" s="870" t="str">
        <f>'HSSA FGD'!$P$76</f>
        <v>Balanced</v>
      </c>
      <c r="J8" s="491" t="str">
        <f>'HSSA FGD'!$Y$78</f>
        <v>Balanced</v>
      </c>
    </row>
    <row r="9" spans="1:10" ht="30.75" thickBot="1">
      <c r="A9" s="447">
        <v>430</v>
      </c>
      <c r="B9" s="445" t="s">
        <v>100</v>
      </c>
      <c r="C9" s="446" t="s">
        <v>332</v>
      </c>
      <c r="D9" s="869" t="str">
        <f>'MDA Sum'!$F$83</f>
        <v>Balanced</v>
      </c>
      <c r="E9" s="869" t="str">
        <f>'MDA FGD'!$M$107</f>
        <v>Balanced</v>
      </c>
      <c r="F9" s="491" t="str">
        <f>'MDA FGD'!$L$107</f>
        <v>Balanced</v>
      </c>
      <c r="G9" s="491" t="str">
        <f>'MDA FGD'!$Q$36</f>
        <v>Balanced</v>
      </c>
      <c r="H9" s="491" t="str">
        <f>'MDA FGD'!$R$36</f>
        <v>Balanced</v>
      </c>
      <c r="I9" s="870" t="str">
        <f>'MDA FGD'!$P$76</f>
        <v>Balanced</v>
      </c>
      <c r="J9" s="491" t="str">
        <f>'MDA FGD'!$Y$78</f>
        <v>Balanced</v>
      </c>
    </row>
    <row r="10" spans="1:10" ht="30.75" thickBot="1">
      <c r="A10" s="447">
        <v>440</v>
      </c>
      <c r="B10" s="445" t="s">
        <v>101</v>
      </c>
      <c r="C10" s="446" t="s">
        <v>333</v>
      </c>
      <c r="D10" s="869" t="str">
        <f>'THC Sum'!$F$83</f>
        <v>Balanced</v>
      </c>
      <c r="E10" s="869" t="str">
        <f>'THC FGD'!$M$107</f>
        <v>Balanced</v>
      </c>
      <c r="F10" s="491" t="str">
        <f>'THC FGD'!$L$107</f>
        <v>Balanced</v>
      </c>
      <c r="G10" s="491" t="str">
        <f>'THC FGD'!$Q$36</f>
        <v>Balanced</v>
      </c>
      <c r="H10" s="491" t="str">
        <f>'THC FGD'!$R$36</f>
        <v>Balanced</v>
      </c>
      <c r="I10" s="870" t="str">
        <f>'THC FGD'!$P$76</f>
        <v>Balanced</v>
      </c>
      <c r="J10" s="491" t="str">
        <f>'THC FGD'!$Y$78</f>
        <v>Balanced</v>
      </c>
    </row>
    <row r="11" spans="1:10" ht="30.75" thickBot="1">
      <c r="A11" s="447">
        <v>450</v>
      </c>
      <c r="B11" s="445" t="s">
        <v>102</v>
      </c>
      <c r="C11" s="446" t="s">
        <v>334</v>
      </c>
      <c r="D11" s="869" t="str">
        <f>'TAMHSC Sum'!$F$83</f>
        <v>Balanced</v>
      </c>
      <c r="E11" s="869" t="str">
        <f>'TAMHSC FGD'!$M$107</f>
        <v>Balanced</v>
      </c>
      <c r="F11" s="491" t="str">
        <f>'TAMHSC FGD'!$L$107</f>
        <v>Balanced</v>
      </c>
      <c r="G11" s="491" t="str">
        <f>'TAMHSC FGD'!$Q$36</f>
        <v>Balanced</v>
      </c>
      <c r="H11" s="491" t="str">
        <f>'TAMHSC FGD'!$R$36</f>
        <v>Balanced</v>
      </c>
      <c r="I11" s="870" t="str">
        <f>'TAMHSC FGD'!$P$76</f>
        <v>Balanced</v>
      </c>
      <c r="J11" s="491" t="str">
        <f>'TAMHSC FGD'!$Y$78</f>
        <v>Balanced</v>
      </c>
    </row>
    <row r="12" spans="1:10" ht="30.75" thickBot="1">
      <c r="A12" s="447">
        <v>460</v>
      </c>
      <c r="B12" s="445" t="s">
        <v>104</v>
      </c>
      <c r="C12" s="446" t="s">
        <v>335</v>
      </c>
      <c r="D12" s="869" t="str">
        <f>'UNTHSC Sum'!$F$83</f>
        <v>Balanced</v>
      </c>
      <c r="E12" s="869" t="str">
        <f>'UNTHSC FGD'!$M$107</f>
        <v>Balanced</v>
      </c>
      <c r="F12" s="491" t="str">
        <f>'UNTHSC FGD'!$L$107</f>
        <v>Balanced</v>
      </c>
      <c r="G12" s="491" t="str">
        <f>'UNTHSC FGD'!$Q$36</f>
        <v>Balanced</v>
      </c>
      <c r="H12" s="491" t="str">
        <f>'UNTHSC FGD'!$R$36</f>
        <v>Balanced</v>
      </c>
      <c r="I12" s="870" t="str">
        <f>'UNTHSC FGD'!$P$76</f>
        <v>Balanced</v>
      </c>
      <c r="J12" s="491" t="str">
        <f>'UNTHSC FGD'!$Y$78</f>
        <v>Balanced</v>
      </c>
    </row>
    <row r="13" spans="1:10" ht="30.75" thickBot="1">
      <c r="A13" s="447">
        <v>470</v>
      </c>
      <c r="B13" s="445" t="s">
        <v>106</v>
      </c>
      <c r="C13" s="446" t="s">
        <v>336</v>
      </c>
      <c r="D13" s="869" t="str">
        <f>'TTUHSC Sum'!$F$83</f>
        <v>Balanced</v>
      </c>
      <c r="E13" s="869" t="str">
        <f>'TTUHSC FGD'!$M$107</f>
        <v>Balanced</v>
      </c>
      <c r="F13" s="491" t="str">
        <f>'TTUHSC FGD'!$L$107</f>
        <v>Balanced</v>
      </c>
      <c r="G13" s="491" t="str">
        <f>'TTUHSC FGD'!$Q$36</f>
        <v>Balanced</v>
      </c>
      <c r="H13" s="491" t="str">
        <f>'TTUHSC FGD'!$R$36</f>
        <v>Balanced</v>
      </c>
      <c r="I13" s="870" t="str">
        <f>'TTUHSC FGD'!$P$76</f>
        <v>Balanced</v>
      </c>
      <c r="J13" s="491" t="str">
        <f>'TTUHSC FGD'!$Y$78</f>
        <v>Balanced</v>
      </c>
    </row>
    <row r="14" spans="1:10" ht="30.75" thickBot="1">
      <c r="A14" s="447">
        <v>490</v>
      </c>
      <c r="B14" s="445" t="s">
        <v>106</v>
      </c>
      <c r="C14" s="446" t="s">
        <v>1204</v>
      </c>
      <c r="D14" s="869" t="str">
        <f>'TTUHSCEP Sum'!$F$83</f>
        <v>Balanced</v>
      </c>
      <c r="E14" s="869" t="str">
        <f>'TTUHSCEP FGD'!$M$107</f>
        <v>Balanced</v>
      </c>
      <c r="F14" s="491" t="str">
        <f>'TTUHSCEP FGD'!$L$107</f>
        <v>Balanced</v>
      </c>
      <c r="G14" s="491" t="str">
        <f>'TTUHSCEP FGD'!$Q$36</f>
        <v>Balanced</v>
      </c>
      <c r="H14" s="491" t="str">
        <f>'TTUHSCEP FGD'!$R$36</f>
        <v>Balanced</v>
      </c>
      <c r="I14" s="870" t="str">
        <f>'TTUHSCEP FGD'!$P$76</f>
        <v>Balanced</v>
      </c>
      <c r="J14" s="491" t="str">
        <f>'TTUHSCEP FGD'!$Y$78</f>
        <v>Balanced</v>
      </c>
    </row>
    <row r="15" spans="1:10" ht="30.75" thickBot="1">
      <c r="A15" s="447">
        <v>500</v>
      </c>
      <c r="B15" s="445" t="s">
        <v>1315</v>
      </c>
      <c r="C15" s="446" t="s">
        <v>1307</v>
      </c>
      <c r="D15" s="869" t="str">
        <f>'AUSM Sum'!$F$83</f>
        <v>Balanced</v>
      </c>
      <c r="E15" s="869" t="str">
        <f>'AUSM FGD'!$M$107</f>
        <v>Balanced</v>
      </c>
      <c r="F15" s="491" t="str">
        <f>'AUSM FGD'!$L$107</f>
        <v>Balanced</v>
      </c>
      <c r="G15" s="491" t="str">
        <f>'AUSM FGD'!$Q$36</f>
        <v>Balanced</v>
      </c>
      <c r="H15" s="491" t="str">
        <f>'AUSM FGD'!$R$36</f>
        <v>Balanced</v>
      </c>
      <c r="I15" s="870" t="str">
        <f>'AUSM FGD'!$P$76</f>
        <v>Balanced</v>
      </c>
      <c r="J15" s="491" t="str">
        <f>'AUSM FGD'!$Y$78</f>
        <v>Balanced</v>
      </c>
    </row>
    <row r="16" spans="1:10" ht="30.75" thickBot="1">
      <c r="A16" s="447">
        <v>510</v>
      </c>
      <c r="B16" s="445" t="s">
        <v>1316</v>
      </c>
      <c r="C16" s="446" t="s">
        <v>1310</v>
      </c>
      <c r="D16" s="869" t="str">
        <f>'RGVM Sum'!$F$83</f>
        <v>Balanced</v>
      </c>
      <c r="E16" s="869" t="str">
        <f>'RGVM FGD'!$M$107</f>
        <v>Balanced</v>
      </c>
      <c r="F16" s="491" t="str">
        <f>'RGVM FGD'!$L$107</f>
        <v>Balanced</v>
      </c>
      <c r="G16" s="491" t="str">
        <f>'RGVM FGD'!$Q$36</f>
        <v>Balanced</v>
      </c>
      <c r="H16" s="491" t="str">
        <f>'RGVM FGD'!$R$36</f>
        <v>Balanced</v>
      </c>
      <c r="I16" s="870" t="str">
        <f>'RGVM FGD'!$P$76</f>
        <v>Balanced</v>
      </c>
      <c r="J16" s="491" t="str">
        <f>'RGVM FGD'!$Y$78</f>
        <v>Balanced</v>
      </c>
    </row>
    <row r="17" spans="1:3">
      <c r="A17" s="453">
        <f>COUNT(A5:A16)</f>
        <v>12</v>
      </c>
      <c r="B17" s="89"/>
      <c r="C17" s="53"/>
    </row>
    <row r="18" spans="1:3">
      <c r="A18" s="53"/>
      <c r="B18" s="89"/>
      <c r="C18" s="53"/>
    </row>
    <row r="19" spans="1:3">
      <c r="A19" s="53"/>
      <c r="B19" s="89"/>
      <c r="C19" s="53"/>
    </row>
    <row r="20" spans="1:3">
      <c r="A20" s="53"/>
      <c r="B20" s="89"/>
      <c r="C20" s="53"/>
    </row>
    <row r="21" spans="1:3">
      <c r="A21" s="53"/>
      <c r="B21" s="89"/>
      <c r="C21" s="53"/>
    </row>
    <row r="22" spans="1:3">
      <c r="A22" s="53"/>
      <c r="B22" s="89"/>
      <c r="C22" s="53"/>
    </row>
    <row r="23" spans="1:3">
      <c r="A23" s="53"/>
      <c r="B23" s="89"/>
      <c r="C23" s="53"/>
    </row>
    <row r="24" spans="1:3">
      <c r="A24" s="53"/>
      <c r="B24" s="89"/>
      <c r="C24" s="53"/>
    </row>
    <row r="25" spans="1:3">
      <c r="A25" s="53"/>
      <c r="B25" s="89"/>
      <c r="C25" s="53"/>
    </row>
    <row r="26" spans="1:3">
      <c r="A26" s="53"/>
      <c r="B26" s="89"/>
      <c r="C26" s="53"/>
    </row>
    <row r="27" spans="1:3">
      <c r="A27" s="53"/>
      <c r="B27" s="89"/>
      <c r="C27" s="53"/>
    </row>
    <row r="28" spans="1:3">
      <c r="A28" s="53"/>
      <c r="B28" s="89"/>
      <c r="C28" s="53"/>
    </row>
  </sheetData>
  <hyperlinks>
    <hyperlink ref="I1" location="Index!A1" display="Return to 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T783"/>
  <sheetViews>
    <sheetView showGridLines="0" zoomScale="85" zoomScaleNormal="85" workbookViewId="0">
      <pane xSplit="5" ySplit="10" topLeftCell="F17" activePane="bottomRight" state="frozen"/>
      <selection activeCell="C36" sqref="C36"/>
      <selection pane="topRight" activeCell="C36" sqref="C36"/>
      <selection pane="bottomLeft" activeCell="C36" sqref="C36"/>
      <selection pane="bottomRight" activeCell="H4" sqref="H4"/>
    </sheetView>
  </sheetViews>
  <sheetFormatPr defaultRowHeight="12.75"/>
  <cols>
    <col min="1" max="1" width="6.85546875" style="453" customWidth="1"/>
    <col min="2" max="2" width="8.85546875" style="453" customWidth="1"/>
    <col min="3" max="3" width="8.140625" style="53" customWidth="1"/>
    <col min="4" max="4" width="6.7109375" style="53" customWidth="1"/>
    <col min="5" max="5" width="25.140625" style="53" customWidth="1"/>
    <col min="6" max="6" width="13.5703125" style="604" customWidth="1"/>
    <col min="7" max="7" width="15.28515625" style="53" customWidth="1"/>
    <col min="8" max="8" width="13.28515625" style="60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53" customWidth="1"/>
    <col min="16" max="16" width="4.85546875" style="53" customWidth="1"/>
    <col min="17" max="17" width="22.42578125" style="53" customWidth="1"/>
    <col min="18" max="18" width="20.140625" style="53" customWidth="1"/>
    <col min="19" max="19" width="16.42578125" style="53" customWidth="1"/>
    <col min="20" max="20" width="26" style="53" customWidth="1"/>
    <col min="21" max="16384" width="9.140625" style="53"/>
  </cols>
  <sheetData>
    <row r="1" spans="1:19" ht="13.5" thickBot="1">
      <c r="B1" s="56" t="s">
        <v>1502</v>
      </c>
      <c r="F1" s="102"/>
      <c r="H1" s="103" t="s">
        <v>1042</v>
      </c>
      <c r="I1" s="102"/>
      <c r="M1" s="703" t="s">
        <v>1123</v>
      </c>
    </row>
    <row r="2" spans="1:19">
      <c r="F2" s="102"/>
      <c r="H2" s="103" t="s">
        <v>1501</v>
      </c>
      <c r="I2" s="102"/>
    </row>
    <row r="3" spans="1:19">
      <c r="F3" s="102"/>
      <c r="H3" s="800" t="s">
        <v>1695</v>
      </c>
      <c r="I3" s="102"/>
    </row>
    <row r="4" spans="1:19">
      <c r="B4" s="611" t="s">
        <v>1030</v>
      </c>
      <c r="F4" s="102"/>
      <c r="H4" s="102"/>
      <c r="I4" s="102"/>
    </row>
    <row r="5" spans="1:19">
      <c r="C5" s="259"/>
      <c r="F5" s="102"/>
      <c r="H5" s="102"/>
      <c r="I5" s="102"/>
    </row>
    <row r="6" spans="1:19">
      <c r="C6" s="259"/>
      <c r="F6" s="102"/>
      <c r="H6" s="102"/>
      <c r="I6" s="102"/>
    </row>
    <row r="7" spans="1:19">
      <c r="A7" s="453" t="s">
        <v>1031</v>
      </c>
      <c r="C7" s="259"/>
      <c r="F7" s="102"/>
      <c r="H7" s="102"/>
      <c r="I7" s="102"/>
    </row>
    <row r="8" spans="1:19">
      <c r="A8" s="453" t="s">
        <v>1032</v>
      </c>
      <c r="C8" s="259"/>
      <c r="F8" s="53"/>
      <c r="H8" s="53"/>
    </row>
    <row r="9" spans="1:19" ht="15.75" customHeight="1">
      <c r="A9" s="453" t="s">
        <v>1044</v>
      </c>
      <c r="C9" s="259"/>
      <c r="D9" s="53" t="s">
        <v>1402</v>
      </c>
      <c r="F9" s="1209" t="s">
        <v>997</v>
      </c>
      <c r="G9" s="1210"/>
      <c r="H9" s="1209" t="s">
        <v>1033</v>
      </c>
      <c r="I9" s="1210"/>
      <c r="J9" s="1209" t="s">
        <v>1034</v>
      </c>
      <c r="K9" s="1210"/>
      <c r="Q9" s="1211" t="s">
        <v>1026</v>
      </c>
      <c r="R9" s="1212"/>
      <c r="S9" s="1213"/>
    </row>
    <row r="10" spans="1:19" s="584" customFormat="1" ht="51.75" customHeight="1">
      <c r="A10" s="612" t="s">
        <v>1035</v>
      </c>
      <c r="B10" s="612"/>
      <c r="C10" s="585" t="s">
        <v>107</v>
      </c>
      <c r="D10" s="585" t="s">
        <v>108</v>
      </c>
      <c r="E10" s="585"/>
      <c r="F10" s="613" t="s">
        <v>1036</v>
      </c>
      <c r="G10" s="613" t="s">
        <v>1037</v>
      </c>
      <c r="H10" s="613" t="s">
        <v>1038</v>
      </c>
      <c r="I10" s="613" t="s">
        <v>1039</v>
      </c>
      <c r="J10" s="613" t="s">
        <v>1038</v>
      </c>
      <c r="K10" s="588" t="s">
        <v>1024</v>
      </c>
      <c r="L10" s="614" t="s">
        <v>1040</v>
      </c>
      <c r="M10" s="615" t="s">
        <v>1041</v>
      </c>
      <c r="N10" s="590" t="s">
        <v>214</v>
      </c>
      <c r="O10" s="616"/>
      <c r="Q10" s="592" t="s">
        <v>226</v>
      </c>
      <c r="R10" s="592" t="s">
        <v>622</v>
      </c>
      <c r="S10" s="592" t="s">
        <v>623</v>
      </c>
    </row>
    <row r="11" spans="1:19" ht="12.75" customHeight="1">
      <c r="A11" s="453">
        <v>390</v>
      </c>
      <c r="C11" s="605" t="s">
        <v>109</v>
      </c>
      <c r="D11" s="407" t="str">
        <f t="shared" ref="D11:D22" si="0">$D$9</f>
        <v>FY 17</v>
      </c>
      <c r="E11" s="206" t="s">
        <v>110</v>
      </c>
      <c r="F11" s="451">
        <f>'SWM FGD'!$X$21</f>
        <v>27027529</v>
      </c>
      <c r="G11" s="488">
        <f>'SWM FGD'!$X$22</f>
        <v>883288</v>
      </c>
      <c r="H11" s="451">
        <f>'SWM FGD'!$X$27</f>
        <v>297179</v>
      </c>
      <c r="I11" s="451">
        <f>'SWM FGD'!$X$30</f>
        <v>0</v>
      </c>
      <c r="J11" s="451">
        <f>'SWM FGD'!$X$35</f>
        <v>6456273</v>
      </c>
      <c r="K11" s="451">
        <f>'SWM FGD'!$X$38</f>
        <v>0</v>
      </c>
      <c r="L11" s="451">
        <f>'SWM FGD'!$X$43</f>
        <v>0</v>
      </c>
      <c r="M11" s="451">
        <f>'SWM FGD'!$X$47</f>
        <v>0</v>
      </c>
      <c r="N11" s="451">
        <f>'SWM FGD'!$Y$49</f>
        <v>34367090</v>
      </c>
      <c r="O11" s="617" t="str">
        <f t="shared" ref="O11:O18" si="1">IF((F11+G11+J11+K11+L11-M11)&lt;&gt;N11,"Error","Balanced")</f>
        <v>Balanced</v>
      </c>
      <c r="Q11" s="102" t="str">
        <f>'SWM FGD'!$P$103</f>
        <v>John Schmidt</v>
      </c>
      <c r="R11" s="102" t="str">
        <f>'SWM FGD'!$R$103</f>
        <v>214-648-0888</v>
      </c>
      <c r="S11" s="102" t="str">
        <f>'SWM FGD'!$U$103</f>
        <v>John.Schmidt@UTSouthwestern.edu</v>
      </c>
    </row>
    <row r="12" spans="1:19">
      <c r="A12" s="453">
        <v>400</v>
      </c>
      <c r="C12" s="605">
        <v>104952</v>
      </c>
      <c r="D12" s="407" t="str">
        <f t="shared" si="0"/>
        <v>FY 17</v>
      </c>
      <c r="E12" s="206" t="s">
        <v>125</v>
      </c>
      <c r="F12" s="488">
        <f>'MBG FGD'!$X$21</f>
        <v>41368962</v>
      </c>
      <c r="G12" s="488">
        <f>'MBG FGD'!$X$22</f>
        <v>2706264</v>
      </c>
      <c r="H12" s="488">
        <f>'MBG FGD'!$X$27</f>
        <v>667387</v>
      </c>
      <c r="I12" s="488">
        <f>'MBG FGD'!$X$30</f>
        <v>0</v>
      </c>
      <c r="J12" s="488">
        <f>'MBG FGD'!$X$35</f>
        <v>1266179</v>
      </c>
      <c r="K12" s="488">
        <f>'MBG FGD'!$X$38</f>
        <v>0</v>
      </c>
      <c r="L12" s="488">
        <f>'MBG FGD'!$X$43</f>
        <v>0</v>
      </c>
      <c r="M12" s="488">
        <f>'MBG FGD'!$X$47</f>
        <v>0</v>
      </c>
      <c r="N12" s="488">
        <f>'MBG FGD'!$Y$49</f>
        <v>45341405</v>
      </c>
      <c r="O12" s="617" t="str">
        <f t="shared" si="1"/>
        <v>Balanced</v>
      </c>
      <c r="Q12" s="102" t="str">
        <f>'MBG FGD'!$P$103</f>
        <v>Craig Elmore</v>
      </c>
      <c r="R12" s="102" t="str">
        <f>'MBG FGD'!$R$103</f>
        <v>409-772-7525</v>
      </c>
      <c r="S12" s="102" t="str">
        <f>'MBG FGD'!$U$103</f>
        <v>crelmore@utmb.edu</v>
      </c>
    </row>
    <row r="13" spans="1:19">
      <c r="A13" s="453">
        <v>410</v>
      </c>
      <c r="C13" s="111" t="s">
        <v>121</v>
      </c>
      <c r="D13" s="407" t="str">
        <f t="shared" si="0"/>
        <v>FY 17</v>
      </c>
      <c r="E13" s="113" t="s">
        <v>122</v>
      </c>
      <c r="F13" s="488">
        <f>'HSH FGD'!$X$21</f>
        <v>56636942</v>
      </c>
      <c r="G13" s="488">
        <f>'HSH FGD'!$X$22</f>
        <v>1459460</v>
      </c>
      <c r="H13" s="488">
        <f>'HSH FGD'!$X$27</f>
        <v>723980</v>
      </c>
      <c r="I13" s="488">
        <f>'HSH FGD'!$X$30</f>
        <v>0</v>
      </c>
      <c r="J13" s="488">
        <f>'HSH FGD'!$X$35</f>
        <v>7181994</v>
      </c>
      <c r="K13" s="488">
        <f>'HSH FGD'!$X$38</f>
        <v>0</v>
      </c>
      <c r="L13" s="488">
        <f>'HSH FGD'!$X$43</f>
        <v>0</v>
      </c>
      <c r="M13" s="488">
        <f>'HSH FGD'!$X$47</f>
        <v>0</v>
      </c>
      <c r="N13" s="488">
        <f>'HSH FGD'!$Y$49</f>
        <v>65278396</v>
      </c>
      <c r="O13" s="617" t="str">
        <f t="shared" si="1"/>
        <v>Balanced</v>
      </c>
      <c r="Q13" s="102" t="str">
        <f>'HSH FGD'!$P$103</f>
        <v>Scott Barnett</v>
      </c>
      <c r="R13" s="102" t="str">
        <f>'HSH FGD'!$R$103</f>
        <v>713/500-4915</v>
      </c>
      <c r="S13" s="102" t="str">
        <f>'HSH FGD'!$U$103</f>
        <v>Scott.Barnett@uth.tmc.edu</v>
      </c>
    </row>
    <row r="14" spans="1:19">
      <c r="A14" s="453">
        <v>420</v>
      </c>
      <c r="C14" s="111" t="s">
        <v>111</v>
      </c>
      <c r="D14" s="407" t="str">
        <f t="shared" si="0"/>
        <v>FY 17</v>
      </c>
      <c r="E14" s="113" t="s">
        <v>112</v>
      </c>
      <c r="F14" s="488">
        <f>'HSSA FGD'!$X$21</f>
        <v>45947803</v>
      </c>
      <c r="G14" s="488">
        <f>'HSSA FGD'!$X$22</f>
        <v>4751425</v>
      </c>
      <c r="H14" s="488">
        <f>'HSSA FGD'!$X$27</f>
        <v>1322244</v>
      </c>
      <c r="I14" s="488">
        <f>'HSSA FGD'!$X$30</f>
        <v>0</v>
      </c>
      <c r="J14" s="488">
        <f>'HSSA FGD'!$X$35</f>
        <v>5360496</v>
      </c>
      <c r="K14" s="488">
        <f>'HSSA FGD'!$X$38</f>
        <v>0</v>
      </c>
      <c r="L14" s="488">
        <f>'HSSA FGD'!$X$43</f>
        <v>0</v>
      </c>
      <c r="M14" s="488">
        <f>'HSSA FGD'!$X$47</f>
        <v>0</v>
      </c>
      <c r="N14" s="488">
        <f>'HSSA FGD'!$Y$49</f>
        <v>56059724</v>
      </c>
      <c r="O14" s="617" t="str">
        <f t="shared" si="1"/>
        <v>Balanced</v>
      </c>
      <c r="Q14" s="102" t="str">
        <f>'HSSA FGD'!$P$103</f>
        <v>Yinwen Li</v>
      </c>
      <c r="R14" s="102" t="str">
        <f>'HSSA FGD'!$R$103</f>
        <v>(210) 562-6268</v>
      </c>
      <c r="S14" s="102" t="str">
        <f>'HSSA FGD'!$U$103</f>
        <v>LIY2@uthscsa.edu</v>
      </c>
    </row>
    <row r="15" spans="1:19">
      <c r="A15" s="453">
        <v>430</v>
      </c>
      <c r="C15" s="111" t="s">
        <v>123</v>
      </c>
      <c r="D15" s="407" t="str">
        <f t="shared" si="0"/>
        <v>FY 17</v>
      </c>
      <c r="E15" s="113" t="s">
        <v>124</v>
      </c>
      <c r="F15" s="488">
        <f>'MDA FGD'!$X$21</f>
        <v>1113485</v>
      </c>
      <c r="G15" s="488">
        <f>'MDA FGD'!$X$22</f>
        <v>20421</v>
      </c>
      <c r="H15" s="488">
        <f>'MDA FGD'!$X$27</f>
        <v>9200</v>
      </c>
      <c r="I15" s="488">
        <f>'MDA FGD'!$X$30</f>
        <v>11221</v>
      </c>
      <c r="J15" s="488">
        <f>'MDA FGD'!$X$35</f>
        <v>239990</v>
      </c>
      <c r="K15" s="488">
        <f>'MDA FGD'!$X$38</f>
        <v>0</v>
      </c>
      <c r="L15" s="488">
        <f>'MDA FGD'!$X$43</f>
        <v>0</v>
      </c>
      <c r="M15" s="488">
        <f>'MDA FGD'!$X$47</f>
        <v>0</v>
      </c>
      <c r="N15" s="488">
        <f>'MDA FGD'!$Y$49</f>
        <v>1373896</v>
      </c>
      <c r="O15" s="617" t="str">
        <f t="shared" si="1"/>
        <v>Balanced</v>
      </c>
      <c r="Q15" s="102" t="str">
        <f>'MDA FGD'!$P$103</f>
        <v>MARIA AGNES  D. CRUZ</v>
      </c>
      <c r="R15" s="102" t="str">
        <f>'MDA FGD'!$R$103</f>
        <v>713-745-9518</v>
      </c>
      <c r="S15" s="102" t="str">
        <f>'MDA FGD'!$U$103</f>
        <v>mcruz@mdanderson.org</v>
      </c>
    </row>
    <row r="16" spans="1:19">
      <c r="A16" s="453">
        <v>440</v>
      </c>
      <c r="C16" s="801">
        <v>42439</v>
      </c>
      <c r="D16" s="407" t="str">
        <f t="shared" si="0"/>
        <v>FY 17</v>
      </c>
      <c r="E16" s="113" t="s">
        <v>1300</v>
      </c>
      <c r="F16" s="488">
        <f>'THC FGD'!$X$21</f>
        <v>182967</v>
      </c>
      <c r="G16" s="488">
        <f>'THC FGD'!$X$22</f>
        <v>0</v>
      </c>
      <c r="H16" s="488">
        <f>'THC FGD'!$X$27</f>
        <v>0</v>
      </c>
      <c r="I16" s="488">
        <f>'THC FGD'!$X$30</f>
        <v>0</v>
      </c>
      <c r="J16" s="488">
        <f>'THC FGD'!$X$35</f>
        <v>58100</v>
      </c>
      <c r="K16" s="488">
        <f>'THC FGD'!$X$38</f>
        <v>49140</v>
      </c>
      <c r="L16" s="488">
        <f>'THC FGD'!$X$43</f>
        <v>0</v>
      </c>
      <c r="M16" s="488">
        <f>'THC FGD'!$X$47</f>
        <v>0</v>
      </c>
      <c r="N16" s="488">
        <f>'THC FGD'!$Y$49</f>
        <v>290207</v>
      </c>
      <c r="O16" s="617" t="str">
        <f t="shared" si="1"/>
        <v>Balanced</v>
      </c>
      <c r="Q16" s="102" t="str">
        <f>'THC FGD'!$P$103</f>
        <v>Natalie Harms</v>
      </c>
      <c r="R16" s="102" t="str">
        <f>'THC FGD'!$R$103</f>
        <v>(903) 877-7855</v>
      </c>
      <c r="S16" s="102" t="str">
        <f>'THC FGD'!$U$103</f>
        <v>natalie.harms@uthct.edu</v>
      </c>
    </row>
    <row r="17" spans="1:20">
      <c r="A17" s="453">
        <v>450</v>
      </c>
      <c r="C17" s="111" t="s">
        <v>113</v>
      </c>
      <c r="D17" s="407" t="str">
        <f t="shared" si="0"/>
        <v>FY 17</v>
      </c>
      <c r="E17" s="113" t="s">
        <v>114</v>
      </c>
      <c r="F17" s="488">
        <f>'TAMHSC FGD'!$X$21</f>
        <v>38150656</v>
      </c>
      <c r="G17" s="488">
        <f>'TAMHSC FGD'!$X$22</f>
        <v>3760866</v>
      </c>
      <c r="H17" s="488">
        <f>'TAMHSC FGD'!$X$27</f>
        <v>691449</v>
      </c>
      <c r="I17" s="488">
        <f>'TAMHSC FGD'!$X$30</f>
        <v>0</v>
      </c>
      <c r="J17" s="488">
        <f>'TAMHSC FGD'!$X$35</f>
        <v>2589708</v>
      </c>
      <c r="K17" s="488">
        <f>'TAMHSC FGD'!$X$38</f>
        <v>0</v>
      </c>
      <c r="L17" s="488">
        <f>'TAMHSC FGD'!$X$43</f>
        <v>0</v>
      </c>
      <c r="M17" s="488">
        <f>'TAMHSC FGD'!$X$47</f>
        <v>0</v>
      </c>
      <c r="N17" s="488">
        <f>'TAMHSC FGD'!$Y$49</f>
        <v>44501230</v>
      </c>
      <c r="O17" s="617" t="str">
        <f t="shared" si="1"/>
        <v>Balanced</v>
      </c>
      <c r="Q17" s="102" t="str">
        <f>'TAMHSC FGD'!$P$103</f>
        <v>Monica Poehl</v>
      </c>
      <c r="R17" s="102" t="str">
        <f>'TAMHSC FGD'!$R$103</f>
        <v>979-458-6090</v>
      </c>
      <c r="S17" s="102" t="str">
        <f>'TAMHSC FGD'!$U$103</f>
        <v>mpoehl@tamus.edu</v>
      </c>
    </row>
    <row r="18" spans="1:20">
      <c r="A18" s="453">
        <v>460</v>
      </c>
      <c r="C18" s="111" t="s">
        <v>115</v>
      </c>
      <c r="D18" s="407" t="str">
        <f t="shared" si="0"/>
        <v>FY 17</v>
      </c>
      <c r="E18" s="113" t="s">
        <v>116</v>
      </c>
      <c r="F18" s="488">
        <f>'UNTHSC FGD'!$X$21</f>
        <v>29810882</v>
      </c>
      <c r="G18" s="488">
        <f>'UNTHSC FGD'!$X$22</f>
        <v>2736435</v>
      </c>
      <c r="H18" s="488">
        <f>'UNTHSC FGD'!$X$27</f>
        <v>0</v>
      </c>
      <c r="I18" s="488">
        <f>'UNTHSC FGD'!$X$30</f>
        <v>0</v>
      </c>
      <c r="J18" s="488">
        <f>'UNTHSC FGD'!$X$35</f>
        <v>0</v>
      </c>
      <c r="K18" s="488">
        <f>'UNTHSC FGD'!$X$38</f>
        <v>1738486</v>
      </c>
      <c r="L18" s="488">
        <f>'UNTHSC FGD'!$X$43</f>
        <v>0</v>
      </c>
      <c r="M18" s="488">
        <f>'UNTHSC FGD'!$X$47</f>
        <v>0</v>
      </c>
      <c r="N18" s="488">
        <f>'UNTHSC FGD'!$Y$49</f>
        <v>34285803</v>
      </c>
      <c r="O18" s="617" t="str">
        <f t="shared" si="1"/>
        <v>Balanced</v>
      </c>
      <c r="Q18" s="102" t="str">
        <f>'UNTHSC FGD'!$P$103</f>
        <v>Julie Meisinger</v>
      </c>
      <c r="R18" s="102" t="str">
        <f>'UNTHSC FGD'!$R$103</f>
        <v>817-735-2609</v>
      </c>
      <c r="S18" s="102" t="str">
        <f>'UNTHSC FGD'!$U$103</f>
        <v>julie.meisinger@untsystem.edu</v>
      </c>
    </row>
    <row r="19" spans="1:20" s="57" customFormat="1">
      <c r="A19" s="376">
        <v>470</v>
      </c>
      <c r="B19" s="376"/>
      <c r="C19" s="801">
        <v>412</v>
      </c>
      <c r="D19" s="950" t="str">
        <f t="shared" si="0"/>
        <v>FY 17</v>
      </c>
      <c r="E19" s="206" t="s">
        <v>120</v>
      </c>
      <c r="F19" s="951">
        <f>'TTUHSC FGD'!$X$21</f>
        <v>51990811</v>
      </c>
      <c r="G19" s="951">
        <f>'TTUHSC FGD'!$X$22</f>
        <v>7311589</v>
      </c>
      <c r="H19" s="951">
        <f>'TTUHSC FGD'!$X$27</f>
        <v>2449512</v>
      </c>
      <c r="I19" s="951">
        <f>'TTUHSC FGD'!$X$30</f>
        <v>0</v>
      </c>
      <c r="J19" s="952">
        <f>'TTUHSC FGD'!$X$35</f>
        <v>3137114</v>
      </c>
      <c r="K19" s="952">
        <f>'TTUHSC FGD'!$X$38</f>
        <v>0</v>
      </c>
      <c r="L19" s="952">
        <f>'TTUHSC FGD'!$X$43</f>
        <v>0</v>
      </c>
      <c r="M19" s="952">
        <f>'TTUHSC FGD'!$X$47</f>
        <v>0</v>
      </c>
      <c r="N19" s="952">
        <f>'TTUHSC FGD'!$Y$49</f>
        <v>62439514</v>
      </c>
      <c r="O19" s="953" t="str">
        <f>IF((F19+G19+J19+K19+L19-M19)&lt;&gt;N19,"Error","Balanced")</f>
        <v>Balanced</v>
      </c>
      <c r="Q19" s="220" t="str">
        <f>'TTUHSC FGD'!$P$103</f>
        <v>Rebecca Aguilar</v>
      </c>
      <c r="R19" s="220" t="str">
        <f>'TTUHSC FGD'!$R$103</f>
        <v>(806) 743-7381</v>
      </c>
      <c r="S19" s="220" t="str">
        <f>'TTUHSC FGD'!$U$103</f>
        <v>rebecca.aguilar@ttuhsc.edu</v>
      </c>
    </row>
    <row r="20" spans="1:20">
      <c r="A20" s="453">
        <v>480</v>
      </c>
      <c r="C20" s="801">
        <v>862</v>
      </c>
      <c r="D20" s="950" t="str">
        <f t="shared" si="0"/>
        <v>FY 17</v>
      </c>
      <c r="E20" s="206" t="s">
        <v>1324</v>
      </c>
      <c r="F20" s="951">
        <f>'TTUHSCEP FGD'!$X$21</f>
        <v>8991570</v>
      </c>
      <c r="G20" s="951">
        <f>'TTUHSCEP FGD'!$X$22</f>
        <v>1818785</v>
      </c>
      <c r="H20" s="951">
        <f>'TTUHSCEP FGD'!$X$27</f>
        <v>381865</v>
      </c>
      <c r="I20" s="951">
        <f>'TTUHSCEP FGD'!$X$30</f>
        <v>0</v>
      </c>
      <c r="J20" s="952">
        <f>'TTUHSCEP FGD'!$X$35</f>
        <v>251045</v>
      </c>
      <c r="K20" s="952">
        <f>'TTUHSCEP FGD'!$X$38</f>
        <v>0</v>
      </c>
      <c r="L20" s="952">
        <f>'TTUHSCEP FGD'!$X$43</f>
        <v>0</v>
      </c>
      <c r="M20" s="952">
        <f>'TTUHSCEP FGD'!$X$47</f>
        <v>0</v>
      </c>
      <c r="N20" s="952">
        <f>'TTUHSCEP FGD'!$Y$49</f>
        <v>11061400</v>
      </c>
      <c r="O20" s="953" t="str">
        <f t="shared" ref="O20:O22" si="2">IF((F20+G20+J20+K20+L20-M20)&lt;&gt;N20,"Error","Balanced")</f>
        <v>Balanced</v>
      </c>
      <c r="P20" s="57"/>
      <c r="Q20" s="220" t="str">
        <f>'TTUHSCEP FGD'!$P$103</f>
        <v>Sandra Tapia</v>
      </c>
      <c r="R20" s="220" t="str">
        <f>'TTUHSCEP FGD'!$R$103</f>
        <v>915-215-4790</v>
      </c>
      <c r="S20" s="220" t="str">
        <f>'TTUHSCEP FGD'!$U$103</f>
        <v>Sandra.tapia@ttuhsc.edu</v>
      </c>
      <c r="T20" s="57"/>
    </row>
    <row r="21" spans="1:20">
      <c r="A21" s="453">
        <v>500</v>
      </c>
      <c r="C21" s="801">
        <v>203599</v>
      </c>
      <c r="D21" s="950" t="str">
        <f t="shared" si="0"/>
        <v>FY 17</v>
      </c>
      <c r="E21" s="113" t="s">
        <v>1319</v>
      </c>
      <c r="F21" s="951">
        <f>'RGVM FGD'!$X$21</f>
        <v>2246511</v>
      </c>
      <c r="G21" s="951">
        <f>'RGVM FGD'!$X$22</f>
        <v>9611</v>
      </c>
      <c r="H21" s="951">
        <f>'RGVM FGD'!$X$27</f>
        <v>9611</v>
      </c>
      <c r="I21" s="951">
        <f>'RGVM FGD'!$X$30</f>
        <v>0</v>
      </c>
      <c r="J21" s="952">
        <f>'RGVM FGD'!$X$35</f>
        <v>152970</v>
      </c>
      <c r="K21" s="952">
        <f>'RGVM FGD'!$X$38</f>
        <v>0</v>
      </c>
      <c r="L21" s="952">
        <f>'RGVM FGD'!$X$43</f>
        <v>0</v>
      </c>
      <c r="M21" s="952">
        <f>'RGVM FGD'!$X$47</f>
        <v>0</v>
      </c>
      <c r="N21" s="952">
        <f>'RGVM FGD'!$Y$49</f>
        <v>2409092</v>
      </c>
      <c r="O21" s="953" t="str">
        <f>IF((F21+G21+J21+K21+L21-M21)&lt;&gt;N21,"Error","Balanced")</f>
        <v>Balanced</v>
      </c>
      <c r="P21" s="57"/>
      <c r="Q21" s="954" t="str">
        <f>'RGVM FGD'!$P$103</f>
        <v>Lilia M. St. Clair</v>
      </c>
      <c r="R21" s="220" t="str">
        <f>'RGVM FGD'!$R$103</f>
        <v>956-665-7906</v>
      </c>
      <c r="S21" s="220" t="str">
        <f>'RGVM FGD'!$U$103</f>
        <v>lilia.stclair@utrgv.edu</v>
      </c>
      <c r="T21" s="57"/>
    </row>
    <row r="22" spans="1:20">
      <c r="A22" s="453">
        <v>510</v>
      </c>
      <c r="C22" s="801">
        <v>203658</v>
      </c>
      <c r="D22" s="950" t="str">
        <f t="shared" si="0"/>
        <v>FY 17</v>
      </c>
      <c r="E22" s="113" t="s">
        <v>1318</v>
      </c>
      <c r="F22" s="951">
        <f>'AUSM FGD'!$X$21</f>
        <v>2537661</v>
      </c>
      <c r="G22" s="951">
        <f>'AUSM FGD'!$X$22</f>
        <v>334203</v>
      </c>
      <c r="H22" s="951">
        <f>'AUSM FGD'!$X$27</f>
        <v>0</v>
      </c>
      <c r="I22" s="951">
        <f>'AUSM FGD'!$X$30</f>
        <v>0</v>
      </c>
      <c r="J22" s="952">
        <f>'AUSM FGD'!$X$35</f>
        <v>0</v>
      </c>
      <c r="K22" s="952">
        <f>'AUSM FGD'!$X$38</f>
        <v>0</v>
      </c>
      <c r="L22" s="952">
        <f>'AUSM FGD'!$X$43</f>
        <v>0</v>
      </c>
      <c r="M22" s="952">
        <f>'AUSM FGD'!$X$47</f>
        <v>0</v>
      </c>
      <c r="N22" s="952">
        <f>'AUSM FGD'!$Y$49</f>
        <v>2871864</v>
      </c>
      <c r="O22" s="953" t="str">
        <f t="shared" si="2"/>
        <v>Balanced</v>
      </c>
      <c r="P22" s="57"/>
      <c r="Q22" s="954" t="str">
        <f>'AUSM FGD'!$P$103</f>
        <v>Marcy Lowther</v>
      </c>
      <c r="R22" s="220" t="str">
        <f>'AUSM FGD'!$R$103</f>
        <v>512-471-2808</v>
      </c>
      <c r="S22" s="220" t="str">
        <f>'AUSM FGD'!$U$103</f>
        <v>mlowther@austin.utexas.edu</v>
      </c>
      <c r="T22" s="57"/>
    </row>
    <row r="23" spans="1:20">
      <c r="C23" s="111"/>
      <c r="D23" s="407"/>
      <c r="E23" s="113"/>
      <c r="F23" s="488"/>
      <c r="G23" s="488"/>
      <c r="H23" s="488"/>
      <c r="I23" s="488"/>
      <c r="J23" s="488"/>
      <c r="K23" s="488"/>
      <c r="L23" s="488"/>
      <c r="M23" s="488"/>
      <c r="N23" s="488"/>
      <c r="O23" s="617"/>
      <c r="Q23" s="102"/>
      <c r="R23" s="102"/>
      <c r="S23" s="102"/>
    </row>
    <row r="24" spans="1:20" ht="13.5" thickBot="1">
      <c r="A24" s="599"/>
      <c r="B24" s="599"/>
      <c r="C24" s="598"/>
      <c r="D24" s="599">
        <f>COUNTA(D11:D23)</f>
        <v>12</v>
      </c>
      <c r="E24" s="600" t="s">
        <v>126</v>
      </c>
      <c r="F24" s="618">
        <f t="shared" ref="F24:N24" si="3">SUM(F11:F23)</f>
        <v>306005779</v>
      </c>
      <c r="G24" s="619">
        <f t="shared" si="3"/>
        <v>25792347</v>
      </c>
      <c r="H24" s="618">
        <f t="shared" si="3"/>
        <v>6552427</v>
      </c>
      <c r="I24" s="618">
        <f t="shared" si="3"/>
        <v>11221</v>
      </c>
      <c r="J24" s="618">
        <f t="shared" si="3"/>
        <v>26693869</v>
      </c>
      <c r="K24" s="618">
        <f t="shared" si="3"/>
        <v>1787626</v>
      </c>
      <c r="L24" s="618">
        <f t="shared" si="3"/>
        <v>0</v>
      </c>
      <c r="M24" s="618">
        <f t="shared" si="3"/>
        <v>0</v>
      </c>
      <c r="N24" s="618">
        <f t="shared" si="3"/>
        <v>360279621</v>
      </c>
    </row>
    <row r="25" spans="1:20" s="102" customFormat="1" ht="13.5" thickTop="1">
      <c r="A25" s="101"/>
      <c r="B25" s="101"/>
      <c r="O25" s="101"/>
    </row>
    <row r="26" spans="1:20" s="102" customFormat="1">
      <c r="A26" s="101"/>
      <c r="B26" s="101"/>
      <c r="D26" s="102" t="s">
        <v>1325</v>
      </c>
      <c r="O26" s="101"/>
    </row>
    <row r="27" spans="1:20" s="102" customFormat="1">
      <c r="A27" s="101"/>
      <c r="B27" s="101"/>
      <c r="E27" s="132"/>
      <c r="O27" s="101"/>
    </row>
    <row r="28" spans="1:20" s="102" customFormat="1">
      <c r="A28" s="101"/>
      <c r="B28" s="101"/>
      <c r="O28" s="101"/>
    </row>
    <row r="29" spans="1:20" s="102" customFormat="1">
      <c r="A29" s="101"/>
      <c r="B29" s="101"/>
      <c r="O29" s="101"/>
    </row>
    <row r="30" spans="1:20" s="102" customFormat="1">
      <c r="A30" s="101"/>
      <c r="B30" s="101"/>
      <c r="O30" s="101"/>
    </row>
    <row r="31" spans="1:20" s="102" customFormat="1">
      <c r="A31" s="101"/>
      <c r="B31" s="101"/>
      <c r="O31" s="101"/>
    </row>
    <row r="32" spans="1:20" s="102" customFormat="1">
      <c r="A32" s="101"/>
      <c r="B32" s="101"/>
      <c r="O32" s="101"/>
    </row>
    <row r="33" spans="1:15" s="102" customFormat="1">
      <c r="A33" s="101"/>
      <c r="B33" s="101"/>
      <c r="O33" s="101"/>
    </row>
    <row r="34" spans="1:15" s="102" customFormat="1">
      <c r="A34" s="101"/>
      <c r="B34" s="101"/>
      <c r="O34" s="101"/>
    </row>
    <row r="35" spans="1:15" s="102" customFormat="1">
      <c r="A35" s="101"/>
      <c r="B35" s="101"/>
      <c r="O35" s="101"/>
    </row>
    <row r="36" spans="1:15" s="102" customFormat="1">
      <c r="A36" s="101"/>
      <c r="B36" s="101"/>
      <c r="O36" s="101"/>
    </row>
    <row r="37" spans="1:15" s="102" customFormat="1">
      <c r="A37" s="101"/>
      <c r="B37" s="101"/>
      <c r="O37" s="101"/>
    </row>
    <row r="38" spans="1:15" s="102" customFormat="1">
      <c r="A38" s="101"/>
      <c r="B38" s="101"/>
      <c r="C38" s="101"/>
      <c r="D38" s="104"/>
      <c r="O38" s="101"/>
    </row>
    <row r="39" spans="1:15" s="102" customFormat="1">
      <c r="A39" s="101"/>
      <c r="B39" s="101"/>
      <c r="C39" s="101"/>
      <c r="F39" s="116">
        <f>F43-F24</f>
        <v>0</v>
      </c>
      <c r="G39" s="116">
        <f t="shared" ref="G39:N39" si="4">G43-G24</f>
        <v>0</v>
      </c>
      <c r="H39" s="116">
        <f t="shared" si="4"/>
        <v>0</v>
      </c>
      <c r="I39" s="116">
        <f t="shared" si="4"/>
        <v>0</v>
      </c>
      <c r="J39" s="116">
        <f t="shared" si="4"/>
        <v>0</v>
      </c>
      <c r="K39" s="116">
        <f t="shared" si="4"/>
        <v>0</v>
      </c>
      <c r="L39" s="116">
        <f t="shared" si="4"/>
        <v>0</v>
      </c>
      <c r="M39" s="116">
        <f t="shared" si="4"/>
        <v>0</v>
      </c>
      <c r="N39" s="116">
        <f t="shared" si="4"/>
        <v>0</v>
      </c>
      <c r="O39" s="101"/>
    </row>
    <row r="40" spans="1:15" s="102" customFormat="1">
      <c r="A40" s="101"/>
      <c r="B40" s="101"/>
      <c r="C40" s="53"/>
      <c r="D40" s="53"/>
      <c r="E40" s="53"/>
      <c r="F40" s="596"/>
      <c r="G40" s="596"/>
      <c r="O40" s="101"/>
    </row>
    <row r="41" spans="1:15" s="102" customFormat="1">
      <c r="A41" s="101"/>
      <c r="B41" s="101"/>
      <c r="C41" s="53"/>
      <c r="D41" s="53"/>
      <c r="E41" s="53"/>
      <c r="F41" s="596"/>
      <c r="G41" s="596"/>
      <c r="O41" s="101"/>
    </row>
    <row r="42" spans="1:15" s="102" customFormat="1">
      <c r="A42" s="101"/>
      <c r="B42" s="101"/>
      <c r="C42" s="53"/>
      <c r="D42" s="53"/>
      <c r="E42" s="53"/>
      <c r="F42" s="596"/>
      <c r="G42" s="596"/>
      <c r="O42" s="101"/>
    </row>
    <row r="43" spans="1:15" s="102" customFormat="1" ht="13.5" thickBot="1">
      <c r="A43" s="101"/>
      <c r="B43" s="101"/>
      <c r="C43" s="53"/>
      <c r="D43" s="53">
        <v>9</v>
      </c>
      <c r="E43" s="53" t="s">
        <v>126</v>
      </c>
      <c r="F43" s="618">
        <v>306005779</v>
      </c>
      <c r="G43" s="619">
        <v>25792347</v>
      </c>
      <c r="H43" s="618">
        <v>6552427</v>
      </c>
      <c r="I43" s="618">
        <v>11221</v>
      </c>
      <c r="J43" s="618">
        <v>26693869</v>
      </c>
      <c r="K43" s="618">
        <v>1787626</v>
      </c>
      <c r="L43" s="618">
        <v>0</v>
      </c>
      <c r="M43" s="618">
        <v>0</v>
      </c>
      <c r="N43" s="618">
        <v>360279621</v>
      </c>
      <c r="O43" s="101"/>
    </row>
    <row r="44" spans="1:15" s="102" customFormat="1" ht="13.5" thickTop="1">
      <c r="A44" s="101"/>
      <c r="B44" s="101"/>
      <c r="C44" s="53"/>
      <c r="D44" s="53"/>
      <c r="E44" s="53"/>
      <c r="F44" s="596"/>
      <c r="G44" s="596"/>
      <c r="O44" s="101"/>
    </row>
    <row r="45" spans="1:15" s="102" customFormat="1">
      <c r="A45" s="101"/>
      <c r="B45" s="101"/>
      <c r="C45" s="1080"/>
      <c r="D45" s="53"/>
      <c r="E45" s="53"/>
      <c r="F45" s="596"/>
      <c r="G45" s="596"/>
      <c r="O45" s="101"/>
    </row>
    <row r="46" spans="1:15" s="102" customFormat="1">
      <c r="A46" s="101"/>
      <c r="B46" s="101"/>
      <c r="O46" s="101"/>
    </row>
    <row r="47" spans="1:15" s="102" customFormat="1">
      <c r="A47" s="101"/>
      <c r="B47" s="101"/>
      <c r="O47" s="101"/>
    </row>
    <row r="48" spans="1:15" s="102" customFormat="1">
      <c r="A48" s="101"/>
      <c r="B48" s="101"/>
      <c r="O48" s="101"/>
    </row>
    <row r="49" spans="1:15" s="102" customFormat="1">
      <c r="A49" s="101"/>
      <c r="B49" s="101"/>
      <c r="O49" s="101"/>
    </row>
    <row r="50" spans="1:15" s="102" customFormat="1">
      <c r="A50" s="101"/>
      <c r="B50" s="101"/>
      <c r="O50" s="101"/>
    </row>
    <row r="51" spans="1:15" s="102" customFormat="1">
      <c r="A51" s="101"/>
      <c r="B51" s="101"/>
      <c r="O51" s="101"/>
    </row>
    <row r="52" spans="1:15" s="102" customFormat="1">
      <c r="A52" s="101"/>
      <c r="B52" s="101"/>
      <c r="O52" s="101"/>
    </row>
    <row r="53" spans="1:15" s="102" customFormat="1">
      <c r="A53" s="101"/>
      <c r="B53" s="101"/>
      <c r="O53" s="101"/>
    </row>
    <row r="54" spans="1:15" s="102" customFormat="1">
      <c r="A54" s="101"/>
      <c r="B54" s="101"/>
      <c r="O54" s="101"/>
    </row>
    <row r="55" spans="1:15" s="102" customFormat="1">
      <c r="A55" s="101"/>
      <c r="B55" s="101"/>
      <c r="O55" s="101"/>
    </row>
    <row r="56" spans="1:15" s="102" customFormat="1">
      <c r="A56" s="101"/>
      <c r="B56" s="101"/>
      <c r="O56" s="101"/>
    </row>
    <row r="57" spans="1:15" s="102" customFormat="1">
      <c r="A57" s="101"/>
      <c r="B57" s="101"/>
      <c r="O57" s="101"/>
    </row>
    <row r="58" spans="1:15" s="102" customFormat="1">
      <c r="A58" s="101"/>
      <c r="B58" s="101"/>
      <c r="O58" s="101"/>
    </row>
    <row r="59" spans="1:15" s="102" customFormat="1">
      <c r="A59" s="101"/>
      <c r="B59" s="101"/>
      <c r="O59" s="101"/>
    </row>
    <row r="60" spans="1:15" s="102" customFormat="1">
      <c r="A60" s="101"/>
      <c r="B60" s="101"/>
      <c r="O60" s="101"/>
    </row>
    <row r="61" spans="1:15" s="102" customFormat="1">
      <c r="A61" s="101"/>
      <c r="B61" s="101"/>
      <c r="O61" s="101"/>
    </row>
    <row r="62" spans="1:15" s="102" customFormat="1">
      <c r="A62" s="101"/>
      <c r="B62" s="101"/>
      <c r="O62" s="101"/>
    </row>
    <row r="63" spans="1:15" s="102" customFormat="1">
      <c r="A63" s="101"/>
      <c r="B63" s="101"/>
      <c r="O63" s="101"/>
    </row>
    <row r="64" spans="1:15" s="102" customFormat="1">
      <c r="A64" s="101"/>
      <c r="B64" s="101"/>
      <c r="O64" s="101"/>
    </row>
    <row r="65" spans="1:15" s="102" customFormat="1">
      <c r="A65" s="101"/>
      <c r="B65" s="101"/>
      <c r="O65" s="101"/>
    </row>
    <row r="66" spans="1:15" s="102" customFormat="1">
      <c r="A66" s="101"/>
      <c r="B66" s="101"/>
      <c r="O66" s="101"/>
    </row>
    <row r="67" spans="1:15" s="102" customFormat="1">
      <c r="A67" s="101"/>
      <c r="B67" s="101"/>
      <c r="O67" s="101"/>
    </row>
    <row r="68" spans="1:15" s="102" customFormat="1">
      <c r="A68" s="101"/>
      <c r="B68" s="101"/>
      <c r="O68" s="101"/>
    </row>
    <row r="69" spans="1:15" s="102" customFormat="1">
      <c r="A69" s="101"/>
      <c r="B69" s="101"/>
      <c r="O69" s="101"/>
    </row>
    <row r="70" spans="1:15" s="102" customFormat="1">
      <c r="A70" s="101"/>
      <c r="B70" s="101"/>
      <c r="O70" s="101"/>
    </row>
    <row r="71" spans="1:15" s="102" customFormat="1">
      <c r="A71" s="101"/>
      <c r="B71" s="101"/>
      <c r="O71" s="101"/>
    </row>
    <row r="72" spans="1:15" s="102" customFormat="1">
      <c r="A72" s="101"/>
      <c r="B72" s="101"/>
      <c r="O72" s="101"/>
    </row>
    <row r="73" spans="1:15" s="102" customFormat="1">
      <c r="A73" s="101"/>
      <c r="B73" s="101"/>
      <c r="O73" s="101"/>
    </row>
    <row r="74" spans="1:15" s="102" customFormat="1">
      <c r="A74" s="101"/>
      <c r="B74" s="101"/>
      <c r="O74" s="101"/>
    </row>
    <row r="75" spans="1:15" s="102" customFormat="1">
      <c r="A75" s="101"/>
      <c r="B75" s="101"/>
      <c r="O75" s="101"/>
    </row>
    <row r="76" spans="1:15" s="102" customFormat="1">
      <c r="A76" s="101"/>
      <c r="B76" s="101"/>
      <c r="O76" s="101"/>
    </row>
    <row r="77" spans="1:15" s="102" customFormat="1">
      <c r="A77" s="101"/>
      <c r="B77" s="101"/>
      <c r="O77" s="101"/>
    </row>
    <row r="78" spans="1:15" s="102" customFormat="1">
      <c r="A78" s="101"/>
      <c r="B78" s="101"/>
      <c r="O78" s="101"/>
    </row>
    <row r="79" spans="1:15" s="102" customFormat="1">
      <c r="A79" s="101"/>
      <c r="B79" s="101"/>
      <c r="O79" s="101"/>
    </row>
    <row r="80" spans="1:15" s="102" customFormat="1">
      <c r="A80" s="101"/>
      <c r="B80" s="101"/>
      <c r="O80" s="101"/>
    </row>
    <row r="81" spans="1:15" s="102" customFormat="1">
      <c r="A81" s="101"/>
      <c r="B81" s="101"/>
      <c r="O81" s="101"/>
    </row>
    <row r="82" spans="1:15" s="102" customFormat="1">
      <c r="A82" s="101"/>
      <c r="B82" s="101"/>
      <c r="O82" s="101"/>
    </row>
    <row r="83" spans="1:15" s="102" customFormat="1">
      <c r="A83" s="101"/>
      <c r="B83" s="101"/>
      <c r="O83" s="101"/>
    </row>
    <row r="84" spans="1:15" s="102" customFormat="1">
      <c r="A84" s="101"/>
      <c r="B84" s="101"/>
      <c r="O84" s="101"/>
    </row>
    <row r="85" spans="1:15" s="102" customFormat="1">
      <c r="A85" s="101"/>
      <c r="B85" s="101"/>
      <c r="O85" s="101"/>
    </row>
    <row r="86" spans="1:15" s="102" customFormat="1">
      <c r="A86" s="101"/>
      <c r="B86" s="101"/>
      <c r="O86" s="101"/>
    </row>
    <row r="87" spans="1:15" s="102" customFormat="1">
      <c r="A87" s="101"/>
      <c r="B87" s="101"/>
      <c r="O87" s="101"/>
    </row>
    <row r="88" spans="1:15" s="102" customFormat="1">
      <c r="A88" s="101"/>
      <c r="B88" s="101"/>
      <c r="O88" s="101"/>
    </row>
    <row r="89" spans="1:15" s="102" customFormat="1">
      <c r="A89" s="101"/>
      <c r="B89" s="101"/>
      <c r="O89" s="101"/>
    </row>
    <row r="90" spans="1:15" s="102" customFormat="1">
      <c r="A90" s="101"/>
      <c r="B90" s="101"/>
      <c r="O90" s="101"/>
    </row>
    <row r="91" spans="1:15" s="102" customFormat="1">
      <c r="A91" s="101"/>
      <c r="B91" s="101"/>
      <c r="O91" s="101"/>
    </row>
    <row r="92" spans="1:15" s="102" customFormat="1">
      <c r="A92" s="101"/>
      <c r="B92" s="101"/>
      <c r="O92" s="101"/>
    </row>
    <row r="93" spans="1:15" s="102" customFormat="1">
      <c r="A93" s="101"/>
      <c r="B93" s="101"/>
      <c r="O93" s="101"/>
    </row>
    <row r="94" spans="1:15" s="102" customFormat="1">
      <c r="A94" s="101"/>
      <c r="B94" s="101"/>
      <c r="O94" s="101"/>
    </row>
    <row r="95" spans="1:15" s="102" customFormat="1">
      <c r="A95" s="101"/>
      <c r="B95" s="101"/>
      <c r="O95" s="101"/>
    </row>
    <row r="96" spans="1:15" s="102" customFormat="1">
      <c r="A96" s="101"/>
      <c r="B96" s="101"/>
      <c r="O96" s="101"/>
    </row>
    <row r="97" spans="1:15" s="102" customFormat="1">
      <c r="A97" s="101"/>
      <c r="B97" s="101"/>
      <c r="O97" s="101"/>
    </row>
    <row r="98" spans="1:15" s="102" customFormat="1">
      <c r="A98" s="101"/>
      <c r="B98" s="101"/>
      <c r="O98" s="101"/>
    </row>
    <row r="99" spans="1:15" s="102" customFormat="1">
      <c r="A99" s="101"/>
      <c r="B99" s="101"/>
      <c r="O99" s="101"/>
    </row>
    <row r="100" spans="1:15" s="102" customFormat="1">
      <c r="A100" s="101"/>
      <c r="B100" s="101"/>
      <c r="O100" s="101"/>
    </row>
    <row r="101" spans="1:15" s="102" customFormat="1">
      <c r="A101" s="101"/>
      <c r="B101" s="101"/>
      <c r="O101" s="101"/>
    </row>
    <row r="102" spans="1:15" s="102" customFormat="1">
      <c r="A102" s="101"/>
      <c r="B102" s="101"/>
      <c r="O102" s="101"/>
    </row>
    <row r="103" spans="1:15" s="102" customFormat="1">
      <c r="A103" s="101"/>
      <c r="B103" s="101"/>
      <c r="O103" s="101"/>
    </row>
    <row r="104" spans="1:15" s="102" customFormat="1">
      <c r="A104" s="101"/>
      <c r="B104" s="101"/>
      <c r="O104" s="101"/>
    </row>
    <row r="105" spans="1:15" s="102" customFormat="1">
      <c r="A105" s="101"/>
      <c r="B105" s="101"/>
      <c r="O105" s="101"/>
    </row>
    <row r="106" spans="1:15" s="102" customFormat="1">
      <c r="A106" s="101"/>
      <c r="B106" s="101"/>
      <c r="O106" s="101"/>
    </row>
    <row r="107" spans="1:15" s="102" customFormat="1">
      <c r="A107" s="101"/>
      <c r="B107" s="101"/>
      <c r="O107" s="101"/>
    </row>
    <row r="108" spans="1:15" s="102" customFormat="1">
      <c r="A108" s="101"/>
      <c r="B108" s="101"/>
      <c r="O108" s="101"/>
    </row>
    <row r="109" spans="1:15" s="102" customFormat="1">
      <c r="A109" s="101"/>
      <c r="B109" s="101"/>
      <c r="O109" s="101"/>
    </row>
    <row r="110" spans="1:15" s="102" customFormat="1">
      <c r="A110" s="101"/>
      <c r="B110" s="101"/>
      <c r="O110" s="101"/>
    </row>
    <row r="111" spans="1:15" s="102" customFormat="1">
      <c r="A111" s="101"/>
      <c r="B111" s="101"/>
      <c r="O111" s="101"/>
    </row>
    <row r="112" spans="1:15" s="102" customFormat="1">
      <c r="A112" s="101"/>
      <c r="B112" s="101"/>
      <c r="O112" s="101"/>
    </row>
    <row r="113" spans="1:15" s="102" customFormat="1">
      <c r="A113" s="101"/>
      <c r="B113" s="101"/>
      <c r="O113" s="101"/>
    </row>
    <row r="114" spans="1:15" s="102" customFormat="1">
      <c r="A114" s="101"/>
      <c r="B114" s="101"/>
      <c r="O114" s="101"/>
    </row>
    <row r="115" spans="1:15" s="102" customFormat="1">
      <c r="A115" s="101"/>
      <c r="B115" s="101"/>
      <c r="O115" s="101"/>
    </row>
    <row r="116" spans="1:15" s="102" customFormat="1">
      <c r="A116" s="101"/>
      <c r="B116" s="101"/>
      <c r="O116" s="101"/>
    </row>
    <row r="117" spans="1:15" s="102" customFormat="1">
      <c r="A117" s="101"/>
      <c r="B117" s="101"/>
      <c r="O117" s="101"/>
    </row>
    <row r="118" spans="1:15" s="102" customFormat="1">
      <c r="A118" s="101"/>
      <c r="B118" s="101"/>
      <c r="O118" s="101"/>
    </row>
    <row r="119" spans="1:15" s="102" customFormat="1">
      <c r="A119" s="101"/>
      <c r="B119" s="101"/>
      <c r="O119" s="101"/>
    </row>
    <row r="120" spans="1:15" s="102" customFormat="1">
      <c r="A120" s="101"/>
      <c r="B120" s="101"/>
      <c r="O120" s="101"/>
    </row>
    <row r="121" spans="1:15" s="102" customFormat="1">
      <c r="A121" s="101"/>
      <c r="B121" s="101"/>
      <c r="O121" s="101"/>
    </row>
    <row r="122" spans="1:15" s="102" customFormat="1">
      <c r="A122" s="101"/>
      <c r="B122" s="101"/>
      <c r="O122" s="101"/>
    </row>
    <row r="123" spans="1:15" s="102" customFormat="1">
      <c r="A123" s="101"/>
      <c r="B123" s="101"/>
      <c r="O123" s="101"/>
    </row>
    <row r="124" spans="1:15" s="102" customFormat="1">
      <c r="A124" s="101"/>
      <c r="B124" s="101"/>
      <c r="O124" s="101"/>
    </row>
    <row r="125" spans="1:15" s="102" customFormat="1">
      <c r="A125" s="101"/>
      <c r="B125" s="101"/>
      <c r="O125" s="101"/>
    </row>
    <row r="126" spans="1:15" s="102" customFormat="1">
      <c r="A126" s="101"/>
      <c r="B126" s="101"/>
      <c r="O126" s="101"/>
    </row>
    <row r="127" spans="1:15" s="102" customFormat="1">
      <c r="A127" s="101"/>
      <c r="B127" s="101"/>
      <c r="O127" s="101"/>
    </row>
    <row r="128" spans="1:15" s="102" customFormat="1">
      <c r="A128" s="101"/>
      <c r="B128" s="101"/>
      <c r="O128" s="101"/>
    </row>
    <row r="129" spans="1:15" s="102" customFormat="1">
      <c r="A129" s="101"/>
      <c r="B129" s="101"/>
      <c r="O129" s="101"/>
    </row>
    <row r="130" spans="1:15" s="102" customFormat="1">
      <c r="A130" s="101"/>
      <c r="B130" s="101"/>
      <c r="O130" s="101"/>
    </row>
    <row r="131" spans="1:15" s="102" customFormat="1">
      <c r="A131" s="101"/>
      <c r="B131" s="101"/>
      <c r="O131" s="101"/>
    </row>
    <row r="132" spans="1:15" s="102" customFormat="1">
      <c r="A132" s="101"/>
      <c r="B132" s="101"/>
      <c r="O132" s="101"/>
    </row>
    <row r="133" spans="1:15" s="102" customFormat="1">
      <c r="A133" s="101"/>
      <c r="B133" s="101"/>
      <c r="O133" s="101"/>
    </row>
    <row r="134" spans="1:15" s="102" customFormat="1">
      <c r="A134" s="101"/>
      <c r="B134" s="101"/>
      <c r="O134" s="101"/>
    </row>
    <row r="135" spans="1:15" s="102" customFormat="1">
      <c r="A135" s="101"/>
      <c r="B135" s="101"/>
      <c r="O135" s="101"/>
    </row>
    <row r="136" spans="1:15" s="102" customFormat="1">
      <c r="A136" s="101"/>
      <c r="B136" s="101"/>
      <c r="O136" s="101"/>
    </row>
    <row r="137" spans="1:15" s="102" customFormat="1">
      <c r="A137" s="101"/>
      <c r="B137" s="101"/>
      <c r="O137" s="101"/>
    </row>
    <row r="138" spans="1:15" s="102" customFormat="1">
      <c r="A138" s="101"/>
      <c r="B138" s="101"/>
      <c r="O138" s="101"/>
    </row>
    <row r="139" spans="1:15" s="102" customFormat="1">
      <c r="A139" s="101"/>
      <c r="B139" s="101"/>
      <c r="O139" s="101"/>
    </row>
    <row r="140" spans="1:15" s="102" customFormat="1">
      <c r="A140" s="101"/>
      <c r="B140" s="101"/>
      <c r="O140" s="101"/>
    </row>
    <row r="141" spans="1:15" s="102" customFormat="1">
      <c r="A141" s="101"/>
      <c r="B141" s="101"/>
      <c r="O141" s="101"/>
    </row>
    <row r="142" spans="1:15" s="102" customFormat="1">
      <c r="A142" s="101"/>
      <c r="B142" s="101"/>
      <c r="O142" s="101"/>
    </row>
    <row r="143" spans="1:15" s="102" customFormat="1">
      <c r="A143" s="101"/>
      <c r="B143" s="101"/>
      <c r="O143" s="101"/>
    </row>
    <row r="144" spans="1:15" s="102" customFormat="1">
      <c r="A144" s="101"/>
      <c r="B144" s="101"/>
      <c r="O144" s="101"/>
    </row>
    <row r="145" spans="1:15" s="102" customFormat="1">
      <c r="A145" s="101"/>
      <c r="B145" s="101"/>
      <c r="O145" s="101"/>
    </row>
    <row r="146" spans="1:15" s="102" customFormat="1">
      <c r="A146" s="101"/>
      <c r="B146" s="101"/>
      <c r="O146" s="101"/>
    </row>
    <row r="147" spans="1:15" s="102" customFormat="1">
      <c r="A147" s="101"/>
      <c r="B147" s="101"/>
      <c r="O147" s="101"/>
    </row>
    <row r="148" spans="1:15" s="102" customFormat="1">
      <c r="A148" s="101"/>
      <c r="B148" s="101"/>
      <c r="O148" s="101"/>
    </row>
    <row r="149" spans="1:15" s="102" customFormat="1">
      <c r="A149" s="101"/>
      <c r="B149" s="101"/>
      <c r="O149" s="101"/>
    </row>
    <row r="150" spans="1:15" s="102" customFormat="1">
      <c r="A150" s="101"/>
      <c r="B150" s="101"/>
      <c r="O150" s="101"/>
    </row>
    <row r="151" spans="1:15" s="102" customFormat="1">
      <c r="A151" s="101"/>
      <c r="B151" s="101"/>
      <c r="O151" s="101"/>
    </row>
    <row r="152" spans="1:15" s="102" customFormat="1">
      <c r="A152" s="101"/>
      <c r="B152" s="101"/>
      <c r="O152" s="101"/>
    </row>
    <row r="153" spans="1:15" s="102" customFormat="1">
      <c r="A153" s="101"/>
      <c r="B153" s="101"/>
      <c r="O153" s="101"/>
    </row>
    <row r="154" spans="1:15" s="102" customFormat="1">
      <c r="A154" s="101"/>
      <c r="B154" s="101"/>
      <c r="O154" s="101"/>
    </row>
    <row r="155" spans="1:15" s="102" customFormat="1">
      <c r="A155" s="101"/>
      <c r="B155" s="101"/>
      <c r="O155" s="101"/>
    </row>
    <row r="156" spans="1:15" s="102" customFormat="1">
      <c r="A156" s="101"/>
      <c r="B156" s="101"/>
      <c r="O156" s="101"/>
    </row>
    <row r="157" spans="1:15" s="102" customFormat="1">
      <c r="A157" s="101"/>
      <c r="B157" s="101"/>
      <c r="O157" s="101"/>
    </row>
    <row r="158" spans="1:15" s="102" customFormat="1">
      <c r="A158" s="101"/>
      <c r="B158" s="101"/>
      <c r="O158" s="101"/>
    </row>
    <row r="159" spans="1:15" s="102" customFormat="1">
      <c r="A159" s="101"/>
      <c r="B159" s="101"/>
      <c r="O159" s="101"/>
    </row>
    <row r="160" spans="1:15" s="102" customFormat="1">
      <c r="A160" s="101"/>
      <c r="B160" s="101"/>
      <c r="O160" s="101"/>
    </row>
    <row r="161" spans="1:15" s="102" customFormat="1">
      <c r="A161" s="101"/>
      <c r="B161" s="101"/>
      <c r="O161" s="101"/>
    </row>
    <row r="162" spans="1:15" s="102" customFormat="1">
      <c r="A162" s="101"/>
      <c r="B162" s="101"/>
      <c r="O162" s="101"/>
    </row>
    <row r="163" spans="1:15" s="102" customFormat="1">
      <c r="A163" s="101"/>
      <c r="B163" s="101"/>
      <c r="O163" s="101"/>
    </row>
    <row r="164" spans="1:15" s="102" customFormat="1">
      <c r="A164" s="101"/>
      <c r="B164" s="101"/>
      <c r="O164" s="101"/>
    </row>
    <row r="165" spans="1:15" s="102" customFormat="1">
      <c r="A165" s="101"/>
      <c r="B165" s="101"/>
      <c r="O165" s="101"/>
    </row>
    <row r="166" spans="1:15" s="102" customFormat="1">
      <c r="A166" s="101"/>
      <c r="B166" s="101"/>
      <c r="O166" s="101"/>
    </row>
    <row r="167" spans="1:15" s="102" customFormat="1">
      <c r="A167" s="101"/>
      <c r="B167" s="101"/>
      <c r="O167" s="101"/>
    </row>
    <row r="168" spans="1:15" s="102" customFormat="1">
      <c r="A168" s="101"/>
      <c r="B168" s="101"/>
      <c r="O168" s="101"/>
    </row>
    <row r="169" spans="1:15" s="102" customFormat="1">
      <c r="A169" s="101"/>
      <c r="B169" s="101"/>
      <c r="O169" s="101"/>
    </row>
    <row r="170" spans="1:15" s="102" customFormat="1">
      <c r="A170" s="101"/>
      <c r="B170" s="101"/>
      <c r="O170" s="101"/>
    </row>
    <row r="171" spans="1:15" s="102" customFormat="1">
      <c r="A171" s="101"/>
      <c r="B171" s="101"/>
      <c r="O171" s="101"/>
    </row>
    <row r="172" spans="1:15" s="102" customFormat="1">
      <c r="A172" s="101"/>
      <c r="B172" s="101"/>
      <c r="O172" s="101"/>
    </row>
    <row r="173" spans="1:15" s="102" customFormat="1">
      <c r="A173" s="101"/>
      <c r="B173" s="101"/>
      <c r="O173" s="101"/>
    </row>
    <row r="174" spans="1:15" s="102" customFormat="1">
      <c r="A174" s="101"/>
      <c r="B174" s="101"/>
      <c r="O174" s="101"/>
    </row>
    <row r="175" spans="1:15" s="102" customFormat="1">
      <c r="A175" s="101"/>
      <c r="B175" s="101"/>
      <c r="O175" s="101"/>
    </row>
    <row r="176" spans="1:15" s="102" customFormat="1">
      <c r="A176" s="101"/>
      <c r="B176" s="101"/>
      <c r="O176" s="101"/>
    </row>
    <row r="177" spans="1:15" s="102" customFormat="1">
      <c r="A177" s="101"/>
      <c r="B177" s="101"/>
      <c r="O177" s="101"/>
    </row>
    <row r="178" spans="1:15" s="102" customFormat="1">
      <c r="A178" s="101"/>
      <c r="B178" s="101"/>
      <c r="O178" s="101"/>
    </row>
    <row r="179" spans="1:15" s="102" customFormat="1">
      <c r="A179" s="101"/>
      <c r="B179" s="101"/>
      <c r="O179" s="101"/>
    </row>
    <row r="180" spans="1:15" s="102" customFormat="1">
      <c r="A180" s="101"/>
      <c r="B180" s="101"/>
      <c r="O180" s="101"/>
    </row>
    <row r="181" spans="1:15" s="102" customFormat="1">
      <c r="A181" s="101"/>
      <c r="B181" s="101"/>
      <c r="O181" s="101"/>
    </row>
    <row r="182" spans="1:15" s="102" customFormat="1">
      <c r="A182" s="101"/>
      <c r="B182" s="101"/>
      <c r="O182" s="101"/>
    </row>
    <row r="183" spans="1:15" s="102" customFormat="1">
      <c r="A183" s="101"/>
      <c r="B183" s="101"/>
      <c r="O183" s="101"/>
    </row>
    <row r="184" spans="1:15" s="102" customFormat="1">
      <c r="A184" s="101"/>
      <c r="B184" s="101"/>
      <c r="O184" s="101"/>
    </row>
    <row r="185" spans="1:15" s="102" customFormat="1">
      <c r="A185" s="101"/>
      <c r="B185" s="101"/>
      <c r="O185" s="101"/>
    </row>
    <row r="186" spans="1:15" s="102" customFormat="1">
      <c r="A186" s="101"/>
      <c r="B186" s="101"/>
      <c r="O186" s="101"/>
    </row>
    <row r="187" spans="1:15" s="102" customFormat="1">
      <c r="A187" s="101"/>
      <c r="B187" s="101"/>
      <c r="O187" s="101"/>
    </row>
    <row r="188" spans="1:15" s="102" customFormat="1">
      <c r="A188" s="101"/>
      <c r="B188" s="101"/>
      <c r="O188" s="101"/>
    </row>
    <row r="189" spans="1:15" s="102" customFormat="1">
      <c r="A189" s="101"/>
      <c r="B189" s="101"/>
      <c r="O189" s="101"/>
    </row>
    <row r="190" spans="1:15" s="102" customFormat="1">
      <c r="A190" s="101"/>
      <c r="B190" s="101"/>
      <c r="O190" s="101"/>
    </row>
    <row r="191" spans="1:15" s="102" customFormat="1">
      <c r="A191" s="101"/>
      <c r="B191" s="101"/>
      <c r="O191" s="101"/>
    </row>
    <row r="192" spans="1:15" s="102" customFormat="1">
      <c r="A192" s="101"/>
      <c r="B192" s="101"/>
      <c r="O192" s="101"/>
    </row>
    <row r="193" spans="1:15" s="102" customFormat="1">
      <c r="A193" s="101"/>
      <c r="B193" s="101"/>
      <c r="O193" s="101"/>
    </row>
    <row r="194" spans="1:15" s="102" customFormat="1">
      <c r="A194" s="101"/>
      <c r="B194" s="101"/>
      <c r="O194" s="101"/>
    </row>
    <row r="195" spans="1:15" s="102" customFormat="1">
      <c r="A195" s="101"/>
      <c r="B195" s="101"/>
      <c r="O195" s="101"/>
    </row>
    <row r="196" spans="1:15" s="102" customFormat="1">
      <c r="A196" s="101"/>
      <c r="B196" s="101"/>
      <c r="O196" s="101"/>
    </row>
    <row r="197" spans="1:15" s="102" customFormat="1">
      <c r="A197" s="101"/>
      <c r="B197" s="101"/>
      <c r="O197" s="101"/>
    </row>
    <row r="198" spans="1:15" s="102" customFormat="1">
      <c r="A198" s="101"/>
      <c r="B198" s="101"/>
      <c r="O198" s="101"/>
    </row>
    <row r="199" spans="1:15" s="102" customFormat="1">
      <c r="A199" s="101"/>
      <c r="B199" s="101"/>
      <c r="O199" s="101"/>
    </row>
    <row r="200" spans="1:15" s="102" customFormat="1">
      <c r="A200" s="101"/>
      <c r="B200" s="101"/>
      <c r="O200" s="101"/>
    </row>
    <row r="201" spans="1:15" s="102" customFormat="1">
      <c r="A201" s="101"/>
      <c r="B201" s="101"/>
      <c r="O201" s="101"/>
    </row>
    <row r="202" spans="1:15" s="102" customFormat="1">
      <c r="A202" s="101"/>
      <c r="B202" s="101"/>
      <c r="O202" s="101"/>
    </row>
    <row r="203" spans="1:15" s="102" customFormat="1">
      <c r="A203" s="101"/>
      <c r="B203" s="101"/>
      <c r="O203" s="101"/>
    </row>
    <row r="204" spans="1:15" s="102" customFormat="1">
      <c r="A204" s="101"/>
      <c r="B204" s="101"/>
      <c r="O204" s="101"/>
    </row>
    <row r="205" spans="1:15" s="102" customFormat="1">
      <c r="A205" s="101"/>
      <c r="B205" s="101"/>
      <c r="O205" s="101"/>
    </row>
    <row r="206" spans="1:15" s="102" customFormat="1">
      <c r="A206" s="101"/>
      <c r="B206" s="101"/>
      <c r="O206" s="101"/>
    </row>
    <row r="207" spans="1:15" s="102" customFormat="1">
      <c r="A207" s="101"/>
      <c r="B207" s="101"/>
      <c r="O207" s="101"/>
    </row>
    <row r="208" spans="1:15" s="102" customFormat="1">
      <c r="A208" s="101"/>
      <c r="B208" s="101"/>
      <c r="O208" s="101"/>
    </row>
    <row r="209" spans="1:15" s="102" customFormat="1">
      <c r="A209" s="101"/>
      <c r="B209" s="101"/>
      <c r="O209" s="101"/>
    </row>
    <row r="210" spans="1:15" s="102" customFormat="1">
      <c r="A210" s="101"/>
      <c r="B210" s="101"/>
      <c r="O210" s="101"/>
    </row>
    <row r="211" spans="1:15" s="102" customFormat="1">
      <c r="A211" s="101"/>
      <c r="B211" s="101"/>
      <c r="O211" s="101"/>
    </row>
    <row r="212" spans="1:15" s="102" customFormat="1">
      <c r="A212" s="101"/>
      <c r="B212" s="101"/>
      <c r="O212" s="101"/>
    </row>
    <row r="213" spans="1:15" s="102" customFormat="1">
      <c r="A213" s="101"/>
      <c r="B213" s="101"/>
      <c r="O213" s="101"/>
    </row>
    <row r="214" spans="1:15" s="102" customFormat="1">
      <c r="A214" s="101"/>
      <c r="B214" s="101"/>
      <c r="O214" s="101"/>
    </row>
    <row r="215" spans="1:15" s="102" customFormat="1">
      <c r="A215" s="101"/>
      <c r="B215" s="101"/>
      <c r="O215" s="101"/>
    </row>
    <row r="216" spans="1:15" s="102" customFormat="1">
      <c r="A216" s="101"/>
      <c r="B216" s="101"/>
      <c r="O216" s="101"/>
    </row>
    <row r="217" spans="1:15" s="102" customFormat="1">
      <c r="A217" s="101"/>
      <c r="B217" s="101"/>
      <c r="O217" s="101"/>
    </row>
    <row r="218" spans="1:15" s="102" customFormat="1">
      <c r="A218" s="101"/>
      <c r="B218" s="101"/>
      <c r="O218" s="101"/>
    </row>
    <row r="219" spans="1:15" s="102" customFormat="1">
      <c r="A219" s="101"/>
      <c r="B219" s="101"/>
      <c r="O219" s="101"/>
    </row>
    <row r="220" spans="1:15" s="102" customFormat="1">
      <c r="A220" s="101"/>
      <c r="B220" s="101"/>
      <c r="O220" s="101"/>
    </row>
    <row r="221" spans="1:15" s="102" customFormat="1">
      <c r="A221" s="101"/>
      <c r="B221" s="101"/>
      <c r="O221" s="101"/>
    </row>
    <row r="222" spans="1:15" s="102" customFormat="1">
      <c r="A222" s="101"/>
      <c r="B222" s="101"/>
      <c r="O222" s="101"/>
    </row>
    <row r="223" spans="1:15" s="102" customFormat="1">
      <c r="A223" s="101"/>
      <c r="B223" s="101"/>
      <c r="O223" s="101"/>
    </row>
    <row r="224" spans="1:15" s="102" customFormat="1">
      <c r="A224" s="101"/>
      <c r="B224" s="101"/>
      <c r="O224" s="101"/>
    </row>
    <row r="225" spans="1:15" s="102" customFormat="1">
      <c r="A225" s="101"/>
      <c r="B225" s="101"/>
      <c r="O225" s="101"/>
    </row>
    <row r="226" spans="1:15" s="102" customFormat="1">
      <c r="A226" s="101"/>
      <c r="B226" s="101"/>
      <c r="O226" s="101"/>
    </row>
    <row r="227" spans="1:15" s="102" customFormat="1">
      <c r="A227" s="101"/>
      <c r="B227" s="101"/>
      <c r="O227" s="101"/>
    </row>
    <row r="228" spans="1:15" s="102" customFormat="1">
      <c r="A228" s="101"/>
      <c r="B228" s="101"/>
      <c r="O228" s="101"/>
    </row>
    <row r="229" spans="1:15" s="102" customFormat="1">
      <c r="A229" s="101"/>
      <c r="B229" s="101"/>
      <c r="O229" s="101"/>
    </row>
    <row r="230" spans="1:15" s="102" customFormat="1">
      <c r="A230" s="101"/>
      <c r="B230" s="101"/>
      <c r="O230" s="101"/>
    </row>
    <row r="231" spans="1:15" s="102" customFormat="1">
      <c r="A231" s="101"/>
      <c r="B231" s="101"/>
      <c r="O231" s="101"/>
    </row>
    <row r="232" spans="1:15" s="102" customFormat="1">
      <c r="A232" s="101"/>
      <c r="B232" s="101"/>
      <c r="O232" s="101"/>
    </row>
    <row r="233" spans="1:15" s="102" customFormat="1">
      <c r="A233" s="101"/>
      <c r="B233" s="101"/>
      <c r="O233" s="101"/>
    </row>
    <row r="234" spans="1:15" s="102" customFormat="1">
      <c r="A234" s="101"/>
      <c r="B234" s="101"/>
      <c r="O234" s="101"/>
    </row>
    <row r="235" spans="1:15" s="102" customFormat="1">
      <c r="A235" s="101"/>
      <c r="B235" s="101"/>
      <c r="O235" s="101"/>
    </row>
    <row r="236" spans="1:15" s="102" customFormat="1">
      <c r="A236" s="101"/>
      <c r="B236" s="101"/>
      <c r="O236" s="101"/>
    </row>
    <row r="237" spans="1:15" s="102" customFormat="1">
      <c r="A237" s="101"/>
      <c r="B237" s="101"/>
      <c r="O237" s="101"/>
    </row>
    <row r="238" spans="1:15" s="102" customFormat="1">
      <c r="A238" s="101"/>
      <c r="B238" s="101"/>
      <c r="O238" s="101"/>
    </row>
    <row r="239" spans="1:15" s="102" customFormat="1">
      <c r="A239" s="101"/>
      <c r="B239" s="101"/>
      <c r="O239" s="101"/>
    </row>
    <row r="240" spans="1:15" s="102" customFormat="1">
      <c r="A240" s="101"/>
      <c r="B240" s="101"/>
      <c r="O240" s="101"/>
    </row>
    <row r="241" spans="1:15" s="102" customFormat="1">
      <c r="A241" s="101"/>
      <c r="B241" s="101"/>
      <c r="O241" s="101"/>
    </row>
    <row r="242" spans="1:15" s="102" customFormat="1">
      <c r="A242" s="101"/>
      <c r="B242" s="101"/>
      <c r="O242" s="101"/>
    </row>
    <row r="243" spans="1:15" s="102" customFormat="1">
      <c r="A243" s="101"/>
      <c r="B243" s="101"/>
      <c r="O243" s="101"/>
    </row>
    <row r="244" spans="1:15" s="102" customFormat="1">
      <c r="A244" s="101"/>
      <c r="B244" s="101"/>
      <c r="O244" s="101"/>
    </row>
    <row r="245" spans="1:15" s="102" customFormat="1">
      <c r="A245" s="101"/>
      <c r="B245" s="101"/>
      <c r="O245" s="101"/>
    </row>
    <row r="246" spans="1:15" s="102" customFormat="1">
      <c r="A246" s="101"/>
      <c r="B246" s="101"/>
      <c r="O246" s="101"/>
    </row>
    <row r="247" spans="1:15" s="102" customFormat="1">
      <c r="A247" s="101"/>
      <c r="B247" s="101"/>
      <c r="O247" s="101"/>
    </row>
    <row r="248" spans="1:15" s="102" customFormat="1">
      <c r="A248" s="101"/>
      <c r="B248" s="101"/>
      <c r="O248" s="101"/>
    </row>
    <row r="249" spans="1:15" s="102" customFormat="1">
      <c r="A249" s="101"/>
      <c r="B249" s="101"/>
      <c r="O249" s="101"/>
    </row>
    <row r="250" spans="1:15" s="102" customFormat="1">
      <c r="A250" s="101"/>
      <c r="B250" s="101"/>
      <c r="O250" s="101"/>
    </row>
    <row r="251" spans="1:15" s="102" customFormat="1">
      <c r="A251" s="101"/>
      <c r="B251" s="101"/>
      <c r="O251" s="101"/>
    </row>
    <row r="252" spans="1:15" s="102" customFormat="1">
      <c r="A252" s="101"/>
      <c r="B252" s="101"/>
      <c r="O252" s="101"/>
    </row>
    <row r="253" spans="1:15" s="102" customFormat="1">
      <c r="A253" s="101"/>
      <c r="B253" s="101"/>
      <c r="O253" s="101"/>
    </row>
    <row r="254" spans="1:15" s="102" customFormat="1">
      <c r="A254" s="101"/>
      <c r="B254" s="101"/>
      <c r="O254" s="101"/>
    </row>
    <row r="255" spans="1:15" s="102" customFormat="1">
      <c r="A255" s="101"/>
      <c r="B255" s="101"/>
      <c r="O255" s="101"/>
    </row>
    <row r="256" spans="1:15" s="102" customFormat="1">
      <c r="A256" s="101"/>
      <c r="B256" s="101"/>
      <c r="O256" s="101"/>
    </row>
    <row r="257" spans="1:15" s="102" customFormat="1">
      <c r="A257" s="101"/>
      <c r="B257" s="101"/>
      <c r="O257" s="101"/>
    </row>
    <row r="258" spans="1:15" s="102" customFormat="1">
      <c r="A258" s="101"/>
      <c r="B258" s="101"/>
      <c r="O258" s="101"/>
    </row>
    <row r="259" spans="1:15" s="102" customFormat="1">
      <c r="A259" s="101"/>
      <c r="B259" s="101"/>
      <c r="O259" s="101"/>
    </row>
    <row r="260" spans="1:15" s="102" customFormat="1">
      <c r="A260" s="101"/>
      <c r="B260" s="101"/>
      <c r="O260" s="101"/>
    </row>
    <row r="261" spans="1:15" s="102" customFormat="1">
      <c r="A261" s="101"/>
      <c r="B261" s="101"/>
      <c r="O261" s="101"/>
    </row>
    <row r="262" spans="1:15" s="102" customFormat="1">
      <c r="A262" s="101"/>
      <c r="B262" s="101"/>
      <c r="O262" s="101"/>
    </row>
    <row r="263" spans="1:15" s="102" customFormat="1">
      <c r="A263" s="101"/>
      <c r="B263" s="101"/>
      <c r="O263" s="101"/>
    </row>
    <row r="264" spans="1:15" s="102" customFormat="1">
      <c r="A264" s="101"/>
      <c r="B264" s="101"/>
      <c r="O264" s="101"/>
    </row>
    <row r="265" spans="1:15" s="102" customFormat="1">
      <c r="A265" s="101"/>
      <c r="B265" s="101"/>
      <c r="O265" s="101"/>
    </row>
    <row r="266" spans="1:15" s="102" customFormat="1">
      <c r="A266" s="101"/>
      <c r="B266" s="101"/>
      <c r="O266" s="101"/>
    </row>
    <row r="267" spans="1:15" s="102" customFormat="1">
      <c r="A267" s="101"/>
      <c r="B267" s="101"/>
      <c r="O267" s="101"/>
    </row>
    <row r="268" spans="1:15" s="102" customFormat="1">
      <c r="A268" s="101"/>
      <c r="B268" s="101"/>
      <c r="O268" s="101"/>
    </row>
    <row r="269" spans="1:15" s="102" customFormat="1">
      <c r="A269" s="101"/>
      <c r="B269" s="101"/>
      <c r="O269" s="101"/>
    </row>
    <row r="270" spans="1:15" s="102" customFormat="1">
      <c r="A270" s="101"/>
      <c r="B270" s="101"/>
      <c r="O270" s="101"/>
    </row>
    <row r="271" spans="1:15" s="102" customFormat="1">
      <c r="A271" s="101"/>
      <c r="B271" s="101"/>
      <c r="O271" s="101"/>
    </row>
    <row r="272" spans="1:15" s="102" customFormat="1">
      <c r="A272" s="101"/>
      <c r="B272" s="101"/>
      <c r="O272" s="101"/>
    </row>
    <row r="273" spans="1:15" s="102" customFormat="1">
      <c r="A273" s="101"/>
      <c r="B273" s="101"/>
      <c r="O273" s="101"/>
    </row>
    <row r="274" spans="1:15" s="102" customFormat="1">
      <c r="A274" s="101"/>
      <c r="B274" s="101"/>
      <c r="O274" s="101"/>
    </row>
    <row r="275" spans="1:15" s="102" customFormat="1">
      <c r="A275" s="101"/>
      <c r="B275" s="101"/>
      <c r="O275" s="101"/>
    </row>
    <row r="276" spans="1:15" s="102" customFormat="1">
      <c r="A276" s="101"/>
      <c r="B276" s="101"/>
      <c r="O276" s="101"/>
    </row>
    <row r="277" spans="1:15" s="102" customFormat="1">
      <c r="A277" s="101"/>
      <c r="B277" s="101"/>
      <c r="O277" s="101"/>
    </row>
    <row r="278" spans="1:15" s="102" customFormat="1">
      <c r="A278" s="101"/>
      <c r="B278" s="101"/>
      <c r="O278" s="101"/>
    </row>
    <row r="279" spans="1:15" s="102" customFormat="1">
      <c r="A279" s="101"/>
      <c r="B279" s="101"/>
      <c r="O279" s="101"/>
    </row>
    <row r="280" spans="1:15" s="102" customFormat="1">
      <c r="A280" s="101"/>
      <c r="B280" s="101"/>
      <c r="O280" s="101"/>
    </row>
    <row r="281" spans="1:15" s="102" customFormat="1">
      <c r="A281" s="101"/>
      <c r="B281" s="101"/>
      <c r="O281" s="101"/>
    </row>
    <row r="282" spans="1:15" s="102" customFormat="1">
      <c r="A282" s="101"/>
      <c r="B282" s="101"/>
      <c r="O282" s="101"/>
    </row>
    <row r="283" spans="1:15" s="102" customFormat="1">
      <c r="A283" s="101"/>
      <c r="B283" s="101"/>
      <c r="O283" s="101"/>
    </row>
    <row r="284" spans="1:15" s="102" customFormat="1">
      <c r="A284" s="101"/>
      <c r="B284" s="101"/>
      <c r="O284" s="101"/>
    </row>
    <row r="285" spans="1:15" s="102" customFormat="1">
      <c r="A285" s="101"/>
      <c r="B285" s="101"/>
      <c r="O285" s="101"/>
    </row>
    <row r="286" spans="1:15" s="102" customFormat="1">
      <c r="A286" s="101"/>
      <c r="B286" s="101"/>
      <c r="O286" s="101"/>
    </row>
    <row r="287" spans="1:15" s="102" customFormat="1">
      <c r="A287" s="101"/>
      <c r="B287" s="101"/>
      <c r="O287" s="101"/>
    </row>
    <row r="288" spans="1:15" s="102" customFormat="1">
      <c r="A288" s="101"/>
      <c r="B288" s="101"/>
      <c r="O288" s="101"/>
    </row>
    <row r="289" spans="1:15" s="102" customFormat="1">
      <c r="A289" s="101"/>
      <c r="B289" s="101"/>
      <c r="O289" s="101"/>
    </row>
    <row r="290" spans="1:15" s="102" customFormat="1">
      <c r="A290" s="101"/>
      <c r="B290" s="101"/>
      <c r="O290" s="101"/>
    </row>
    <row r="291" spans="1:15" s="102" customFormat="1">
      <c r="A291" s="101"/>
      <c r="B291" s="101"/>
      <c r="O291" s="101"/>
    </row>
    <row r="292" spans="1:15" s="102" customFormat="1">
      <c r="A292" s="101"/>
      <c r="B292" s="101"/>
      <c r="O292" s="101"/>
    </row>
    <row r="293" spans="1:15" s="102" customFormat="1">
      <c r="A293" s="101"/>
      <c r="B293" s="101"/>
      <c r="O293" s="101"/>
    </row>
    <row r="294" spans="1:15" s="102" customFormat="1">
      <c r="A294" s="101"/>
      <c r="B294" s="101"/>
      <c r="O294" s="101"/>
    </row>
    <row r="295" spans="1:15" s="102" customFormat="1">
      <c r="A295" s="101"/>
      <c r="B295" s="101"/>
      <c r="O295" s="101"/>
    </row>
    <row r="296" spans="1:15" s="102" customFormat="1">
      <c r="A296" s="101"/>
      <c r="B296" s="101"/>
      <c r="O296" s="101"/>
    </row>
    <row r="297" spans="1:15" s="102" customFormat="1">
      <c r="A297" s="101"/>
      <c r="B297" s="101"/>
      <c r="O297" s="101"/>
    </row>
    <row r="298" spans="1:15" s="102" customFormat="1">
      <c r="A298" s="101"/>
      <c r="B298" s="101"/>
      <c r="O298" s="101"/>
    </row>
    <row r="299" spans="1:15" s="102" customFormat="1">
      <c r="A299" s="101"/>
      <c r="B299" s="101"/>
      <c r="O299" s="101"/>
    </row>
    <row r="300" spans="1:15" s="102" customFormat="1">
      <c r="A300" s="101"/>
      <c r="B300" s="101"/>
      <c r="O300" s="101"/>
    </row>
    <row r="301" spans="1:15" s="102" customFormat="1">
      <c r="A301" s="101"/>
      <c r="B301" s="101"/>
      <c r="O301" s="101"/>
    </row>
    <row r="302" spans="1:15" s="102" customFormat="1">
      <c r="A302" s="101"/>
      <c r="B302" s="101"/>
      <c r="O302" s="101"/>
    </row>
    <row r="303" spans="1:15" s="102" customFormat="1">
      <c r="A303" s="101"/>
      <c r="B303" s="101"/>
      <c r="O303" s="101"/>
    </row>
    <row r="304" spans="1:15" s="102" customFormat="1">
      <c r="A304" s="101"/>
      <c r="B304" s="101"/>
      <c r="O304" s="101"/>
    </row>
    <row r="305" spans="1:15" s="102" customFormat="1">
      <c r="A305" s="101"/>
      <c r="B305" s="101"/>
      <c r="O305" s="101"/>
    </row>
    <row r="306" spans="1:15" s="102" customFormat="1">
      <c r="A306" s="101"/>
      <c r="B306" s="101"/>
      <c r="O306" s="101"/>
    </row>
    <row r="307" spans="1:15" s="102" customFormat="1">
      <c r="A307" s="101"/>
      <c r="B307" s="101"/>
      <c r="O307" s="101"/>
    </row>
    <row r="308" spans="1:15" s="102" customFormat="1">
      <c r="A308" s="101"/>
      <c r="B308" s="101"/>
      <c r="O308" s="101"/>
    </row>
    <row r="309" spans="1:15" s="102" customFormat="1">
      <c r="A309" s="101"/>
      <c r="B309" s="101"/>
      <c r="O309" s="101"/>
    </row>
    <row r="310" spans="1:15" s="102" customFormat="1">
      <c r="A310" s="101"/>
      <c r="B310" s="101"/>
      <c r="O310" s="101"/>
    </row>
    <row r="311" spans="1:15" s="102" customFormat="1">
      <c r="A311" s="101"/>
      <c r="B311" s="101"/>
      <c r="O311" s="101"/>
    </row>
    <row r="312" spans="1:15" s="102" customFormat="1">
      <c r="A312" s="101"/>
      <c r="B312" s="101"/>
      <c r="O312" s="101"/>
    </row>
    <row r="313" spans="1:15" s="102" customFormat="1">
      <c r="A313" s="101"/>
      <c r="B313" s="101"/>
      <c r="O313" s="101"/>
    </row>
    <row r="314" spans="1:15" s="102" customFormat="1">
      <c r="A314" s="101"/>
      <c r="B314" s="101"/>
      <c r="O314" s="101"/>
    </row>
    <row r="315" spans="1:15" s="102" customFormat="1">
      <c r="A315" s="101"/>
      <c r="B315" s="101"/>
      <c r="O315" s="101"/>
    </row>
    <row r="316" spans="1:15" s="102" customFormat="1">
      <c r="A316" s="101"/>
      <c r="B316" s="101"/>
      <c r="O316" s="101"/>
    </row>
    <row r="317" spans="1:15" s="102" customFormat="1">
      <c r="A317" s="101"/>
      <c r="B317" s="101"/>
      <c r="O317" s="101"/>
    </row>
    <row r="318" spans="1:15" s="102" customFormat="1">
      <c r="A318" s="101"/>
      <c r="B318" s="101"/>
      <c r="O318" s="101"/>
    </row>
    <row r="319" spans="1:15" s="102" customFormat="1">
      <c r="A319" s="101"/>
      <c r="B319" s="101"/>
      <c r="O319" s="101"/>
    </row>
    <row r="320" spans="1:15" s="102" customFormat="1">
      <c r="A320" s="101"/>
      <c r="B320" s="101"/>
      <c r="O320" s="101"/>
    </row>
    <row r="321" spans="1:15" s="102" customFormat="1">
      <c r="A321" s="101"/>
      <c r="B321" s="101"/>
      <c r="O321" s="101"/>
    </row>
    <row r="322" spans="1:15" s="102" customFormat="1">
      <c r="A322" s="101"/>
      <c r="B322" s="101"/>
      <c r="O322" s="101"/>
    </row>
    <row r="323" spans="1:15" s="102" customFormat="1">
      <c r="A323" s="101"/>
      <c r="B323" s="101"/>
      <c r="O323" s="101"/>
    </row>
    <row r="324" spans="1:15" s="102" customFormat="1">
      <c r="A324" s="101"/>
      <c r="B324" s="101"/>
      <c r="O324" s="101"/>
    </row>
    <row r="325" spans="1:15" s="102" customFormat="1">
      <c r="A325" s="101"/>
      <c r="B325" s="101"/>
      <c r="O325" s="101"/>
    </row>
    <row r="326" spans="1:15" s="102" customFormat="1">
      <c r="A326" s="101"/>
      <c r="B326" s="101"/>
      <c r="O326" s="101"/>
    </row>
    <row r="327" spans="1:15" s="102" customFormat="1">
      <c r="A327" s="101"/>
      <c r="B327" s="101"/>
      <c r="O327" s="101"/>
    </row>
    <row r="328" spans="1:15" s="102" customFormat="1">
      <c r="A328" s="101"/>
      <c r="B328" s="101"/>
      <c r="O328" s="101"/>
    </row>
    <row r="329" spans="1:15" s="102" customFormat="1">
      <c r="A329" s="101"/>
      <c r="B329" s="101"/>
      <c r="O329" s="101"/>
    </row>
    <row r="330" spans="1:15" s="102" customFormat="1">
      <c r="A330" s="101"/>
      <c r="B330" s="101"/>
      <c r="O330" s="101"/>
    </row>
    <row r="331" spans="1:15" s="102" customFormat="1">
      <c r="A331" s="101"/>
      <c r="B331" s="101"/>
      <c r="O331" s="101"/>
    </row>
    <row r="332" spans="1:15" s="102" customFormat="1">
      <c r="A332" s="101"/>
      <c r="B332" s="101"/>
      <c r="O332" s="101"/>
    </row>
    <row r="333" spans="1:15" s="102" customFormat="1">
      <c r="A333" s="101"/>
      <c r="B333" s="101"/>
      <c r="O333" s="101"/>
    </row>
    <row r="334" spans="1:15" s="102" customFormat="1">
      <c r="A334" s="101"/>
      <c r="B334" s="101"/>
      <c r="O334" s="101"/>
    </row>
    <row r="335" spans="1:15" s="102" customFormat="1">
      <c r="A335" s="101"/>
      <c r="B335" s="101"/>
      <c r="O335" s="101"/>
    </row>
    <row r="336" spans="1:15" s="102" customFormat="1">
      <c r="A336" s="101"/>
      <c r="B336" s="101"/>
      <c r="O336" s="101"/>
    </row>
    <row r="337" spans="1:15" s="102" customFormat="1">
      <c r="A337" s="101"/>
      <c r="B337" s="101"/>
      <c r="O337" s="101"/>
    </row>
    <row r="338" spans="1:15" s="102" customFormat="1">
      <c r="A338" s="101"/>
      <c r="B338" s="101"/>
      <c r="O338" s="101"/>
    </row>
    <row r="339" spans="1:15" s="102" customFormat="1">
      <c r="A339" s="101"/>
      <c r="B339" s="101"/>
      <c r="O339" s="101"/>
    </row>
    <row r="340" spans="1:15" s="102" customFormat="1">
      <c r="A340" s="101"/>
      <c r="B340" s="101"/>
      <c r="O340" s="101"/>
    </row>
    <row r="341" spans="1:15" s="102" customFormat="1">
      <c r="A341" s="101"/>
      <c r="B341" s="101"/>
      <c r="O341" s="101"/>
    </row>
    <row r="342" spans="1:15" s="102" customFormat="1">
      <c r="A342" s="101"/>
      <c r="B342" s="101"/>
      <c r="O342" s="101"/>
    </row>
    <row r="343" spans="1:15" s="102" customFormat="1">
      <c r="A343" s="101"/>
      <c r="B343" s="101"/>
      <c r="O343" s="101"/>
    </row>
    <row r="344" spans="1:15" s="102" customFormat="1">
      <c r="A344" s="101"/>
      <c r="B344" s="101"/>
      <c r="O344" s="101"/>
    </row>
    <row r="345" spans="1:15" s="102" customFormat="1">
      <c r="A345" s="101"/>
      <c r="B345" s="101"/>
      <c r="O345" s="101"/>
    </row>
    <row r="346" spans="1:15" s="102" customFormat="1">
      <c r="A346" s="101"/>
      <c r="B346" s="101"/>
      <c r="O346" s="101"/>
    </row>
    <row r="347" spans="1:15" s="102" customFormat="1">
      <c r="A347" s="101"/>
      <c r="B347" s="101"/>
      <c r="O347" s="101"/>
    </row>
    <row r="348" spans="1:15" s="102" customFormat="1">
      <c r="A348" s="101"/>
      <c r="B348" s="101"/>
      <c r="O348" s="101"/>
    </row>
    <row r="349" spans="1:15" s="102" customFormat="1">
      <c r="A349" s="101"/>
      <c r="B349" s="101"/>
      <c r="O349" s="101"/>
    </row>
    <row r="350" spans="1:15" s="102" customFormat="1">
      <c r="A350" s="101"/>
      <c r="B350" s="101"/>
      <c r="O350" s="101"/>
    </row>
    <row r="351" spans="1:15" s="102" customFormat="1">
      <c r="A351" s="101"/>
      <c r="B351" s="101"/>
      <c r="O351" s="101"/>
    </row>
    <row r="352" spans="1:15" s="102" customFormat="1">
      <c r="A352" s="101"/>
      <c r="B352" s="101"/>
      <c r="O352" s="101"/>
    </row>
    <row r="353" spans="1:15" s="102" customFormat="1">
      <c r="A353" s="101"/>
      <c r="B353" s="101"/>
      <c r="O353" s="101"/>
    </row>
    <row r="354" spans="1:15" s="102" customFormat="1">
      <c r="A354" s="101"/>
      <c r="B354" s="101"/>
      <c r="O354" s="101"/>
    </row>
    <row r="355" spans="1:15" s="102" customFormat="1">
      <c r="A355" s="101"/>
      <c r="B355" s="101"/>
      <c r="O355" s="101"/>
    </row>
    <row r="356" spans="1:15" s="102" customFormat="1">
      <c r="A356" s="101"/>
      <c r="B356" s="101"/>
      <c r="O356" s="101"/>
    </row>
    <row r="357" spans="1:15" s="102" customFormat="1">
      <c r="A357" s="101"/>
      <c r="B357" s="101"/>
      <c r="O357" s="101"/>
    </row>
    <row r="358" spans="1:15" s="102" customFormat="1">
      <c r="A358" s="101"/>
      <c r="B358" s="101"/>
      <c r="O358" s="101"/>
    </row>
    <row r="359" spans="1:15" s="102" customFormat="1">
      <c r="A359" s="101"/>
      <c r="B359" s="101"/>
      <c r="O359" s="101"/>
    </row>
    <row r="360" spans="1:15" s="102" customFormat="1">
      <c r="A360" s="101"/>
      <c r="B360" s="101"/>
      <c r="O360" s="101"/>
    </row>
    <row r="361" spans="1:15" s="102" customFormat="1">
      <c r="A361" s="101"/>
      <c r="B361" s="101"/>
      <c r="O361" s="101"/>
    </row>
    <row r="362" spans="1:15" s="102" customFormat="1">
      <c r="A362" s="101"/>
      <c r="B362" s="101"/>
      <c r="O362" s="101"/>
    </row>
    <row r="363" spans="1:15" s="102" customFormat="1">
      <c r="A363" s="101"/>
      <c r="B363" s="101"/>
      <c r="O363" s="101"/>
    </row>
    <row r="364" spans="1:15" s="102" customFormat="1">
      <c r="A364" s="101"/>
      <c r="B364" s="101"/>
      <c r="O364" s="101"/>
    </row>
    <row r="365" spans="1:15" s="102" customFormat="1">
      <c r="A365" s="101"/>
      <c r="B365" s="101"/>
      <c r="O365" s="101"/>
    </row>
    <row r="366" spans="1:15" s="102" customFormat="1">
      <c r="A366" s="101"/>
      <c r="B366" s="101"/>
      <c r="O366" s="101"/>
    </row>
    <row r="367" spans="1:15" s="102" customFormat="1">
      <c r="A367" s="101"/>
      <c r="B367" s="101"/>
      <c r="O367" s="101"/>
    </row>
    <row r="368" spans="1:15" s="102" customFormat="1">
      <c r="A368" s="101"/>
      <c r="B368" s="101"/>
      <c r="O368" s="101"/>
    </row>
    <row r="369" spans="1:15" s="102" customFormat="1">
      <c r="A369" s="101"/>
      <c r="B369" s="101"/>
      <c r="O369" s="101"/>
    </row>
    <row r="370" spans="1:15" s="102" customFormat="1">
      <c r="A370" s="101"/>
      <c r="B370" s="101"/>
      <c r="O370" s="101"/>
    </row>
    <row r="371" spans="1:15" s="102" customFormat="1">
      <c r="A371" s="101"/>
      <c r="B371" s="101"/>
      <c r="O371" s="101"/>
    </row>
    <row r="372" spans="1:15" s="102" customFormat="1">
      <c r="A372" s="101"/>
      <c r="B372" s="101"/>
      <c r="O372" s="101"/>
    </row>
    <row r="373" spans="1:15" s="102" customFormat="1">
      <c r="A373" s="101"/>
      <c r="B373" s="101"/>
      <c r="O373" s="101"/>
    </row>
    <row r="374" spans="1:15" s="102" customFormat="1">
      <c r="A374" s="101"/>
      <c r="B374" s="101"/>
      <c r="O374" s="101"/>
    </row>
    <row r="375" spans="1:15" s="102" customFormat="1">
      <c r="A375" s="101"/>
      <c r="B375" s="101"/>
      <c r="O375" s="101"/>
    </row>
    <row r="376" spans="1:15" s="102" customFormat="1">
      <c r="A376" s="101"/>
      <c r="B376" s="101"/>
      <c r="O376" s="101"/>
    </row>
    <row r="377" spans="1:15" s="102" customFormat="1">
      <c r="A377" s="101"/>
      <c r="B377" s="101"/>
      <c r="O377" s="101"/>
    </row>
    <row r="378" spans="1:15" s="102" customFormat="1">
      <c r="A378" s="101"/>
      <c r="B378" s="101"/>
      <c r="O378" s="101"/>
    </row>
    <row r="379" spans="1:15" s="102" customFormat="1">
      <c r="A379" s="101"/>
      <c r="B379" s="101"/>
      <c r="O379" s="101"/>
    </row>
    <row r="380" spans="1:15" s="102" customFormat="1">
      <c r="A380" s="101"/>
      <c r="B380" s="101"/>
      <c r="O380" s="101"/>
    </row>
    <row r="381" spans="1:15" s="102" customFormat="1">
      <c r="A381" s="101"/>
      <c r="B381" s="101"/>
      <c r="O381" s="101"/>
    </row>
    <row r="382" spans="1:15" s="102" customFormat="1">
      <c r="A382" s="101"/>
      <c r="B382" s="101"/>
      <c r="O382" s="101"/>
    </row>
    <row r="383" spans="1:15" s="102" customFormat="1">
      <c r="A383" s="101"/>
      <c r="B383" s="101"/>
      <c r="O383" s="101"/>
    </row>
    <row r="384" spans="1:15" s="102" customFormat="1">
      <c r="A384" s="101"/>
      <c r="B384" s="101"/>
      <c r="O384" s="101"/>
    </row>
    <row r="385" spans="1:15" s="102" customFormat="1">
      <c r="A385" s="101"/>
      <c r="B385" s="101"/>
      <c r="O385" s="101"/>
    </row>
    <row r="386" spans="1:15" s="102" customFormat="1">
      <c r="A386" s="101"/>
      <c r="B386" s="101"/>
      <c r="O386" s="101"/>
    </row>
    <row r="387" spans="1:15" s="102" customFormat="1">
      <c r="A387" s="101"/>
      <c r="B387" s="101"/>
      <c r="O387" s="101"/>
    </row>
    <row r="388" spans="1:15" s="102" customFormat="1">
      <c r="A388" s="101"/>
      <c r="B388" s="101"/>
      <c r="O388" s="101"/>
    </row>
    <row r="389" spans="1:15" s="102" customFormat="1">
      <c r="A389" s="101"/>
      <c r="B389" s="101"/>
      <c r="O389" s="101"/>
    </row>
    <row r="390" spans="1:15" s="102" customFormat="1">
      <c r="A390" s="101"/>
      <c r="B390" s="101"/>
      <c r="O390" s="101"/>
    </row>
    <row r="391" spans="1:15" s="102" customFormat="1">
      <c r="A391" s="101"/>
      <c r="B391" s="101"/>
      <c r="O391" s="101"/>
    </row>
    <row r="392" spans="1:15" s="102" customFormat="1">
      <c r="A392" s="101"/>
      <c r="B392" s="101"/>
      <c r="O392" s="101"/>
    </row>
    <row r="393" spans="1:15" s="102" customFormat="1">
      <c r="A393" s="101"/>
      <c r="B393" s="101"/>
      <c r="O393" s="101"/>
    </row>
    <row r="394" spans="1:15" s="102" customFormat="1">
      <c r="A394" s="101"/>
      <c r="B394" s="101"/>
      <c r="O394" s="101"/>
    </row>
    <row r="395" spans="1:15" s="102" customFormat="1">
      <c r="A395" s="101"/>
      <c r="B395" s="101"/>
      <c r="O395" s="101"/>
    </row>
    <row r="396" spans="1:15" s="102" customFormat="1">
      <c r="A396" s="101"/>
      <c r="B396" s="101"/>
      <c r="O396" s="101"/>
    </row>
    <row r="397" spans="1:15" s="102" customFormat="1">
      <c r="A397" s="101"/>
      <c r="B397" s="101"/>
      <c r="O397" s="101"/>
    </row>
    <row r="398" spans="1:15" s="102" customFormat="1">
      <c r="A398" s="101"/>
      <c r="B398" s="101"/>
      <c r="O398" s="101"/>
    </row>
    <row r="399" spans="1:15" s="102" customFormat="1">
      <c r="A399" s="101"/>
      <c r="B399" s="101"/>
      <c r="O399" s="101"/>
    </row>
    <row r="400" spans="1:15" s="102" customFormat="1">
      <c r="A400" s="101"/>
      <c r="B400" s="101"/>
      <c r="O400" s="101"/>
    </row>
    <row r="401" spans="1:15" s="102" customFormat="1">
      <c r="A401" s="101"/>
      <c r="B401" s="101"/>
      <c r="O401" s="101"/>
    </row>
    <row r="402" spans="1:15" s="102" customFormat="1">
      <c r="A402" s="101"/>
      <c r="B402" s="101"/>
      <c r="O402" s="101"/>
    </row>
    <row r="403" spans="1:15" s="102" customFormat="1">
      <c r="A403" s="101"/>
      <c r="B403" s="101"/>
      <c r="O403" s="101"/>
    </row>
    <row r="404" spans="1:15" s="102" customFormat="1">
      <c r="A404" s="101"/>
      <c r="B404" s="101"/>
      <c r="O404" s="101"/>
    </row>
    <row r="405" spans="1:15" s="102" customFormat="1">
      <c r="A405" s="101"/>
      <c r="B405" s="101"/>
      <c r="O405" s="101"/>
    </row>
    <row r="406" spans="1:15" s="102" customFormat="1">
      <c r="A406" s="101"/>
      <c r="B406" s="101"/>
      <c r="O406" s="101"/>
    </row>
    <row r="407" spans="1:15" s="102" customFormat="1">
      <c r="A407" s="101"/>
      <c r="B407" s="101"/>
      <c r="O407" s="101"/>
    </row>
    <row r="408" spans="1:15" s="102" customFormat="1">
      <c r="A408" s="101"/>
      <c r="B408" s="101"/>
      <c r="O408" s="101"/>
    </row>
    <row r="409" spans="1:15" s="102" customFormat="1">
      <c r="A409" s="101"/>
      <c r="B409" s="101"/>
      <c r="O409" s="101"/>
    </row>
    <row r="410" spans="1:15" s="102" customFormat="1">
      <c r="A410" s="101"/>
      <c r="B410" s="101"/>
      <c r="O410" s="101"/>
    </row>
    <row r="411" spans="1:15" s="102" customFormat="1">
      <c r="A411" s="101"/>
      <c r="B411" s="101"/>
      <c r="O411" s="101"/>
    </row>
    <row r="412" spans="1:15" s="102" customFormat="1">
      <c r="A412" s="101"/>
      <c r="B412" s="101"/>
      <c r="O412" s="101"/>
    </row>
    <row r="413" spans="1:15" s="102" customFormat="1">
      <c r="A413" s="101"/>
      <c r="B413" s="101"/>
      <c r="O413" s="101"/>
    </row>
    <row r="414" spans="1:15" s="102" customFormat="1">
      <c r="A414" s="101"/>
      <c r="B414" s="101"/>
      <c r="O414" s="101"/>
    </row>
    <row r="415" spans="1:15" s="102" customFormat="1">
      <c r="A415" s="101"/>
      <c r="B415" s="101"/>
      <c r="O415" s="101"/>
    </row>
    <row r="416" spans="1:15" s="102" customFormat="1">
      <c r="A416" s="101"/>
      <c r="B416" s="101"/>
      <c r="O416" s="101"/>
    </row>
    <row r="417" spans="1:15" s="102" customFormat="1">
      <c r="A417" s="101"/>
      <c r="B417" s="101"/>
      <c r="O417" s="101"/>
    </row>
    <row r="418" spans="1:15" s="102" customFormat="1">
      <c r="A418" s="101"/>
      <c r="B418" s="101"/>
      <c r="O418" s="101"/>
    </row>
    <row r="419" spans="1:15" s="102" customFormat="1">
      <c r="A419" s="101"/>
      <c r="B419" s="101"/>
      <c r="O419" s="101"/>
    </row>
    <row r="420" spans="1:15" s="102" customFormat="1">
      <c r="A420" s="101"/>
      <c r="B420" s="101"/>
      <c r="O420" s="101"/>
    </row>
    <row r="421" spans="1:15" s="102" customFormat="1">
      <c r="A421" s="101"/>
      <c r="B421" s="101"/>
      <c r="O421" s="101"/>
    </row>
    <row r="422" spans="1:15" s="102" customFormat="1">
      <c r="A422" s="101"/>
      <c r="B422" s="101"/>
      <c r="O422" s="101"/>
    </row>
    <row r="423" spans="1:15" s="102" customFormat="1">
      <c r="A423" s="101"/>
      <c r="B423" s="101"/>
      <c r="O423" s="101"/>
    </row>
    <row r="424" spans="1:15" s="102" customFormat="1">
      <c r="A424" s="101"/>
      <c r="B424" s="101"/>
      <c r="O424" s="101"/>
    </row>
    <row r="425" spans="1:15" s="102" customFormat="1">
      <c r="A425" s="101"/>
      <c r="B425" s="101"/>
      <c r="O425" s="101"/>
    </row>
    <row r="426" spans="1:15" s="102" customFormat="1">
      <c r="A426" s="101"/>
      <c r="B426" s="101"/>
      <c r="O426" s="101"/>
    </row>
    <row r="427" spans="1:15" s="102" customFormat="1">
      <c r="A427" s="101"/>
      <c r="B427" s="101"/>
      <c r="O427" s="101"/>
    </row>
    <row r="428" spans="1:15" s="102" customFormat="1">
      <c r="A428" s="101"/>
      <c r="B428" s="101"/>
      <c r="O428" s="101"/>
    </row>
    <row r="429" spans="1:15" s="102" customFormat="1">
      <c r="A429" s="101"/>
      <c r="B429" s="101"/>
      <c r="O429" s="101"/>
    </row>
    <row r="430" spans="1:15" s="102" customFormat="1">
      <c r="A430" s="101"/>
      <c r="B430" s="101"/>
      <c r="O430" s="101"/>
    </row>
    <row r="431" spans="1:15" s="102" customFormat="1">
      <c r="A431" s="101"/>
      <c r="B431" s="101"/>
      <c r="O431" s="101"/>
    </row>
    <row r="432" spans="1:15" s="102" customFormat="1">
      <c r="A432" s="101"/>
      <c r="B432" s="101"/>
      <c r="O432" s="101"/>
    </row>
    <row r="433" spans="1:15" s="102" customFormat="1">
      <c r="A433" s="101"/>
      <c r="B433" s="101"/>
      <c r="O433" s="101"/>
    </row>
    <row r="434" spans="1:15" s="102" customFormat="1">
      <c r="A434" s="101"/>
      <c r="B434" s="101"/>
      <c r="O434" s="101"/>
    </row>
    <row r="435" spans="1:15" s="102" customFormat="1">
      <c r="A435" s="101"/>
      <c r="B435" s="101"/>
      <c r="O435" s="101"/>
    </row>
    <row r="436" spans="1:15" s="102" customFormat="1">
      <c r="A436" s="101"/>
      <c r="B436" s="101"/>
      <c r="O436" s="101"/>
    </row>
    <row r="437" spans="1:15" s="102" customFormat="1">
      <c r="A437" s="101"/>
      <c r="B437" s="101"/>
      <c r="O437" s="101"/>
    </row>
    <row r="438" spans="1:15" s="102" customFormat="1">
      <c r="A438" s="101"/>
      <c r="B438" s="101"/>
      <c r="O438" s="101"/>
    </row>
    <row r="439" spans="1:15" s="102" customFormat="1">
      <c r="A439" s="101"/>
      <c r="B439" s="101"/>
      <c r="O439" s="101"/>
    </row>
    <row r="440" spans="1:15" s="102" customFormat="1">
      <c r="A440" s="101"/>
      <c r="B440" s="101"/>
      <c r="O440" s="101"/>
    </row>
    <row r="441" spans="1:15" s="102" customFormat="1">
      <c r="A441" s="101"/>
      <c r="B441" s="101"/>
      <c r="O441" s="101"/>
    </row>
    <row r="442" spans="1:15" s="102" customFormat="1">
      <c r="A442" s="101"/>
      <c r="B442" s="101"/>
      <c r="O442" s="101"/>
    </row>
    <row r="443" spans="1:15" s="102" customFormat="1">
      <c r="A443" s="101"/>
      <c r="B443" s="101"/>
      <c r="O443" s="101"/>
    </row>
    <row r="444" spans="1:15" s="102" customFormat="1">
      <c r="A444" s="101"/>
      <c r="B444" s="101"/>
      <c r="O444" s="101"/>
    </row>
    <row r="445" spans="1:15" s="102" customFormat="1">
      <c r="A445" s="101"/>
      <c r="B445" s="101"/>
      <c r="O445" s="101"/>
    </row>
    <row r="446" spans="1:15" s="102" customFormat="1">
      <c r="A446" s="101"/>
      <c r="B446" s="101"/>
      <c r="O446" s="101"/>
    </row>
    <row r="447" spans="1:15" s="102" customFormat="1">
      <c r="A447" s="101"/>
      <c r="B447" s="101"/>
      <c r="O447" s="101"/>
    </row>
    <row r="448" spans="1:15" s="102" customFormat="1">
      <c r="A448" s="101"/>
      <c r="B448" s="101"/>
      <c r="O448" s="101"/>
    </row>
    <row r="449" spans="1:15" s="102" customFormat="1">
      <c r="A449" s="101"/>
      <c r="B449" s="101"/>
      <c r="O449" s="101"/>
    </row>
    <row r="450" spans="1:15" s="102" customFormat="1">
      <c r="A450" s="101"/>
      <c r="B450" s="101"/>
      <c r="O450" s="101"/>
    </row>
    <row r="451" spans="1:15" s="102" customFormat="1">
      <c r="A451" s="101"/>
      <c r="B451" s="101"/>
      <c r="O451" s="101"/>
    </row>
    <row r="452" spans="1:15" s="102" customFormat="1">
      <c r="A452" s="101"/>
      <c r="B452" s="101"/>
      <c r="O452" s="101"/>
    </row>
    <row r="453" spans="1:15" s="102" customFormat="1">
      <c r="A453" s="101"/>
      <c r="B453" s="101"/>
      <c r="O453" s="101"/>
    </row>
    <row r="454" spans="1:15" s="102" customFormat="1">
      <c r="A454" s="101"/>
      <c r="B454" s="101"/>
      <c r="O454" s="101"/>
    </row>
    <row r="455" spans="1:15" s="102" customFormat="1">
      <c r="A455" s="101"/>
      <c r="B455" s="101"/>
      <c r="O455" s="101"/>
    </row>
    <row r="456" spans="1:15" s="102" customFormat="1">
      <c r="A456" s="101"/>
      <c r="B456" s="101"/>
      <c r="O456" s="101"/>
    </row>
    <row r="457" spans="1:15" s="102" customFormat="1">
      <c r="A457" s="101"/>
      <c r="B457" s="101"/>
      <c r="O457" s="101"/>
    </row>
    <row r="458" spans="1:15" s="102" customFormat="1">
      <c r="A458" s="101"/>
      <c r="B458" s="101"/>
      <c r="O458" s="101"/>
    </row>
    <row r="459" spans="1:15" s="102" customFormat="1">
      <c r="A459" s="101"/>
      <c r="B459" s="101"/>
      <c r="O459" s="101"/>
    </row>
    <row r="460" spans="1:15" s="102" customFormat="1">
      <c r="A460" s="101"/>
      <c r="B460" s="101"/>
      <c r="O460" s="101"/>
    </row>
    <row r="461" spans="1:15" s="102" customFormat="1">
      <c r="A461" s="101"/>
      <c r="B461" s="101"/>
      <c r="O461" s="101"/>
    </row>
    <row r="462" spans="1:15" s="102" customFormat="1">
      <c r="A462" s="101"/>
      <c r="B462" s="101"/>
      <c r="O462" s="101"/>
    </row>
    <row r="463" spans="1:15" s="102" customFormat="1">
      <c r="A463" s="101"/>
      <c r="B463" s="101"/>
      <c r="O463" s="101"/>
    </row>
    <row r="464" spans="1:15" s="102" customFormat="1">
      <c r="A464" s="101"/>
      <c r="B464" s="101"/>
      <c r="O464" s="101"/>
    </row>
    <row r="465" spans="1:15" s="102" customFormat="1">
      <c r="A465" s="101"/>
      <c r="B465" s="101"/>
      <c r="O465" s="101"/>
    </row>
    <row r="466" spans="1:15" s="102" customFormat="1">
      <c r="A466" s="101"/>
      <c r="B466" s="101"/>
      <c r="O466" s="101"/>
    </row>
    <row r="467" spans="1:15" s="102" customFormat="1">
      <c r="A467" s="101"/>
      <c r="B467" s="101"/>
      <c r="O467" s="101"/>
    </row>
    <row r="468" spans="1:15" s="102" customFormat="1">
      <c r="A468" s="101"/>
      <c r="B468" s="101"/>
      <c r="O468" s="101"/>
    </row>
    <row r="469" spans="1:15" s="102" customFormat="1">
      <c r="A469" s="101"/>
      <c r="B469" s="101"/>
      <c r="O469" s="101"/>
    </row>
    <row r="470" spans="1:15" s="102" customFormat="1">
      <c r="A470" s="101"/>
      <c r="B470" s="101"/>
      <c r="O470" s="101"/>
    </row>
    <row r="471" spans="1:15" s="102" customFormat="1">
      <c r="A471" s="101"/>
      <c r="B471" s="101"/>
      <c r="O471" s="101"/>
    </row>
    <row r="472" spans="1:15" s="102" customFormat="1">
      <c r="A472" s="101"/>
      <c r="B472" s="101"/>
      <c r="O472" s="101"/>
    </row>
    <row r="473" spans="1:15" s="102" customFormat="1">
      <c r="A473" s="101"/>
      <c r="B473" s="101"/>
      <c r="O473" s="101"/>
    </row>
    <row r="474" spans="1:15" s="102" customFormat="1">
      <c r="A474" s="101"/>
      <c r="B474" s="101"/>
      <c r="O474" s="101"/>
    </row>
    <row r="475" spans="1:15" s="102" customFormat="1">
      <c r="A475" s="101"/>
      <c r="B475" s="101"/>
      <c r="O475" s="101"/>
    </row>
    <row r="476" spans="1:15" s="102" customFormat="1">
      <c r="A476" s="101"/>
      <c r="B476" s="101"/>
      <c r="O476" s="101"/>
    </row>
    <row r="477" spans="1:15" s="102" customFormat="1">
      <c r="A477" s="101"/>
      <c r="B477" s="101"/>
      <c r="O477" s="101"/>
    </row>
    <row r="478" spans="1:15" s="102" customFormat="1">
      <c r="A478" s="101"/>
      <c r="B478" s="101"/>
      <c r="O478" s="101"/>
    </row>
    <row r="479" spans="1:15" s="102" customFormat="1">
      <c r="A479" s="101"/>
      <c r="B479" s="101"/>
      <c r="O479" s="101"/>
    </row>
    <row r="480" spans="1:15" s="102" customFormat="1">
      <c r="A480" s="101"/>
      <c r="B480" s="101"/>
      <c r="O480" s="101"/>
    </row>
    <row r="481" spans="1:15" s="102" customFormat="1">
      <c r="A481" s="101"/>
      <c r="B481" s="101"/>
      <c r="O481" s="101"/>
    </row>
    <row r="482" spans="1:15" s="102" customFormat="1">
      <c r="A482" s="101"/>
      <c r="B482" s="101"/>
      <c r="O482" s="101"/>
    </row>
    <row r="483" spans="1:15" s="102" customFormat="1">
      <c r="A483" s="101"/>
      <c r="B483" s="101"/>
      <c r="O483" s="101"/>
    </row>
    <row r="484" spans="1:15" s="102" customFormat="1">
      <c r="A484" s="101"/>
      <c r="B484" s="101"/>
      <c r="O484" s="101"/>
    </row>
    <row r="485" spans="1:15" s="102" customFormat="1">
      <c r="A485" s="101"/>
      <c r="B485" s="101"/>
      <c r="O485" s="101"/>
    </row>
    <row r="486" spans="1:15" s="102" customFormat="1">
      <c r="A486" s="101"/>
      <c r="B486" s="101"/>
      <c r="O486" s="101"/>
    </row>
    <row r="487" spans="1:15" s="102" customFormat="1">
      <c r="A487" s="101"/>
      <c r="B487" s="101"/>
      <c r="O487" s="101"/>
    </row>
    <row r="488" spans="1:15" s="102" customFormat="1">
      <c r="A488" s="101"/>
      <c r="B488" s="101"/>
      <c r="O488" s="101"/>
    </row>
    <row r="489" spans="1:15" s="102" customFormat="1">
      <c r="A489" s="101"/>
      <c r="B489" s="101"/>
      <c r="O489" s="101"/>
    </row>
    <row r="490" spans="1:15" s="102" customFormat="1">
      <c r="A490" s="101"/>
      <c r="B490" s="101"/>
      <c r="O490" s="101"/>
    </row>
    <row r="491" spans="1:15" s="102" customFormat="1">
      <c r="A491" s="101"/>
      <c r="B491" s="101"/>
      <c r="O491" s="101"/>
    </row>
    <row r="492" spans="1:15" s="102" customFormat="1">
      <c r="A492" s="101"/>
      <c r="B492" s="101"/>
      <c r="O492" s="101"/>
    </row>
    <row r="493" spans="1:15" s="102" customFormat="1">
      <c r="A493" s="101"/>
      <c r="B493" s="101"/>
      <c r="O493" s="101"/>
    </row>
    <row r="494" spans="1:15" s="102" customFormat="1">
      <c r="A494" s="101"/>
      <c r="B494" s="101"/>
      <c r="O494" s="101"/>
    </row>
    <row r="495" spans="1:15" s="102" customFormat="1">
      <c r="A495" s="101"/>
      <c r="B495" s="101"/>
      <c r="O495" s="101"/>
    </row>
    <row r="496" spans="1:15" s="102" customFormat="1">
      <c r="A496" s="101"/>
      <c r="B496" s="101"/>
      <c r="O496" s="101"/>
    </row>
    <row r="497" spans="1:15" s="102" customFormat="1">
      <c r="A497" s="101"/>
      <c r="B497" s="101"/>
      <c r="O497" s="101"/>
    </row>
    <row r="498" spans="1:15" s="102" customFormat="1">
      <c r="A498" s="101"/>
      <c r="B498" s="101"/>
      <c r="O498" s="101"/>
    </row>
    <row r="499" spans="1:15" s="102" customFormat="1">
      <c r="A499" s="101"/>
      <c r="B499" s="101"/>
      <c r="O499" s="101"/>
    </row>
    <row r="500" spans="1:15" s="102" customFormat="1">
      <c r="A500" s="101"/>
      <c r="B500" s="101"/>
      <c r="O500" s="101"/>
    </row>
    <row r="501" spans="1:15" s="102" customFormat="1">
      <c r="A501" s="101"/>
      <c r="B501" s="101"/>
      <c r="O501" s="101"/>
    </row>
    <row r="502" spans="1:15" s="102" customFormat="1">
      <c r="A502" s="101"/>
      <c r="B502" s="101"/>
      <c r="O502" s="101"/>
    </row>
    <row r="503" spans="1:15" s="102" customFormat="1">
      <c r="A503" s="101"/>
      <c r="B503" s="101"/>
      <c r="O503" s="101"/>
    </row>
    <row r="504" spans="1:15" s="102" customFormat="1">
      <c r="A504" s="101"/>
      <c r="B504" s="101"/>
      <c r="O504" s="101"/>
    </row>
    <row r="505" spans="1:15" s="102" customFormat="1">
      <c r="A505" s="101"/>
      <c r="B505" s="101"/>
      <c r="O505" s="101"/>
    </row>
    <row r="506" spans="1:15" s="102" customFormat="1">
      <c r="A506" s="101"/>
      <c r="B506" s="101"/>
      <c r="O506" s="101"/>
    </row>
    <row r="507" spans="1:15" s="102" customFormat="1">
      <c r="A507" s="101"/>
      <c r="B507" s="101"/>
      <c r="O507" s="101"/>
    </row>
    <row r="508" spans="1:15" s="102" customFormat="1">
      <c r="A508" s="101"/>
      <c r="B508" s="101"/>
      <c r="O508" s="101"/>
    </row>
    <row r="509" spans="1:15" s="102" customFormat="1">
      <c r="A509" s="101"/>
      <c r="B509" s="101"/>
      <c r="O509" s="101"/>
    </row>
    <row r="510" spans="1:15" s="102" customFormat="1">
      <c r="A510" s="101"/>
      <c r="B510" s="101"/>
      <c r="O510" s="101"/>
    </row>
    <row r="511" spans="1:15" s="102" customFormat="1">
      <c r="A511" s="101"/>
      <c r="B511" s="101"/>
      <c r="O511" s="101"/>
    </row>
    <row r="512" spans="1:15" s="102" customFormat="1">
      <c r="A512" s="101"/>
      <c r="B512" s="101"/>
      <c r="O512" s="101"/>
    </row>
    <row r="513" spans="1:15" s="102" customFormat="1">
      <c r="A513" s="101"/>
      <c r="B513" s="101"/>
      <c r="O513" s="101"/>
    </row>
    <row r="514" spans="1:15" s="102" customFormat="1">
      <c r="A514" s="101"/>
      <c r="B514" s="101"/>
      <c r="O514" s="101"/>
    </row>
    <row r="515" spans="1:15" s="102" customFormat="1">
      <c r="A515" s="101"/>
      <c r="B515" s="101"/>
      <c r="O515" s="101"/>
    </row>
    <row r="516" spans="1:15" s="102" customFormat="1">
      <c r="A516" s="101"/>
      <c r="B516" s="101"/>
      <c r="O516" s="101"/>
    </row>
    <row r="517" spans="1:15" s="102" customFormat="1">
      <c r="A517" s="101"/>
      <c r="B517" s="101"/>
      <c r="O517" s="101"/>
    </row>
    <row r="518" spans="1:15" s="102" customFormat="1">
      <c r="A518" s="101"/>
      <c r="B518" s="101"/>
      <c r="O518" s="101"/>
    </row>
    <row r="519" spans="1:15" s="102" customFormat="1">
      <c r="A519" s="101"/>
      <c r="B519" s="101"/>
      <c r="O519" s="101"/>
    </row>
    <row r="520" spans="1:15" s="102" customFormat="1">
      <c r="A520" s="101"/>
      <c r="B520" s="101"/>
      <c r="O520" s="101"/>
    </row>
    <row r="521" spans="1:15" s="102" customFormat="1">
      <c r="A521" s="101"/>
      <c r="B521" s="101"/>
      <c r="O521" s="101"/>
    </row>
    <row r="522" spans="1:15" s="102" customFormat="1">
      <c r="A522" s="101"/>
      <c r="B522" s="101"/>
      <c r="O522" s="101"/>
    </row>
    <row r="523" spans="1:15" s="102" customFormat="1">
      <c r="A523" s="101"/>
      <c r="B523" s="101"/>
      <c r="O523" s="101"/>
    </row>
    <row r="524" spans="1:15" s="102" customFormat="1">
      <c r="A524" s="101"/>
      <c r="B524" s="101"/>
      <c r="O524" s="101"/>
    </row>
    <row r="525" spans="1:15" s="102" customFormat="1">
      <c r="A525" s="101"/>
      <c r="B525" s="101"/>
      <c r="O525" s="101"/>
    </row>
    <row r="526" spans="1:15" s="102" customFormat="1">
      <c r="A526" s="101"/>
      <c r="B526" s="101"/>
      <c r="O526" s="101"/>
    </row>
    <row r="527" spans="1:15" s="102" customFormat="1">
      <c r="A527" s="101"/>
      <c r="B527" s="101"/>
      <c r="O527" s="101"/>
    </row>
    <row r="528" spans="1:15" s="102" customFormat="1">
      <c r="A528" s="101"/>
      <c r="B528" s="101"/>
      <c r="O528" s="101"/>
    </row>
    <row r="529" spans="1:15" s="102" customFormat="1">
      <c r="A529" s="101"/>
      <c r="B529" s="101"/>
      <c r="O529" s="101"/>
    </row>
    <row r="530" spans="1:15" s="102" customFormat="1">
      <c r="A530" s="101"/>
      <c r="B530" s="101"/>
      <c r="O530" s="101"/>
    </row>
    <row r="531" spans="1:15" s="102" customFormat="1">
      <c r="A531" s="101"/>
      <c r="B531" s="101"/>
      <c r="O531" s="101"/>
    </row>
    <row r="532" spans="1:15" s="102" customFormat="1">
      <c r="A532" s="101"/>
      <c r="B532" s="101"/>
      <c r="O532" s="101"/>
    </row>
    <row r="533" spans="1:15" s="102" customFormat="1">
      <c r="A533" s="101"/>
      <c r="B533" s="101"/>
      <c r="O533" s="101"/>
    </row>
    <row r="534" spans="1:15" s="102" customFormat="1">
      <c r="A534" s="101"/>
      <c r="B534" s="101"/>
      <c r="O534" s="101"/>
    </row>
    <row r="535" spans="1:15" s="102" customFormat="1">
      <c r="A535" s="101"/>
      <c r="B535" s="101"/>
      <c r="O535" s="101"/>
    </row>
    <row r="536" spans="1:15" s="102" customFormat="1">
      <c r="A536" s="101"/>
      <c r="B536" s="101"/>
      <c r="O536" s="101"/>
    </row>
    <row r="537" spans="1:15" s="102" customFormat="1">
      <c r="A537" s="101"/>
      <c r="B537" s="101"/>
      <c r="O537" s="101"/>
    </row>
    <row r="538" spans="1:15" s="102" customFormat="1">
      <c r="A538" s="101"/>
      <c r="B538" s="101"/>
      <c r="O538" s="101"/>
    </row>
    <row r="539" spans="1:15" s="102" customFormat="1">
      <c r="A539" s="101"/>
      <c r="B539" s="101"/>
      <c r="O539" s="101"/>
    </row>
    <row r="540" spans="1:15" s="102" customFormat="1">
      <c r="A540" s="101"/>
      <c r="B540" s="101"/>
      <c r="O540" s="101"/>
    </row>
    <row r="541" spans="1:15" s="102" customFormat="1">
      <c r="A541" s="101"/>
      <c r="B541" s="101"/>
      <c r="O541" s="101"/>
    </row>
    <row r="542" spans="1:15" s="102" customFormat="1">
      <c r="A542" s="101"/>
      <c r="B542" s="101"/>
      <c r="O542" s="101"/>
    </row>
    <row r="543" spans="1:15" s="102" customFormat="1">
      <c r="A543" s="101"/>
      <c r="B543" s="101"/>
      <c r="O543" s="101"/>
    </row>
    <row r="544" spans="1:15" s="102" customFormat="1">
      <c r="A544" s="101"/>
      <c r="B544" s="101"/>
      <c r="O544" s="101"/>
    </row>
    <row r="545" spans="1:15" s="102" customFormat="1">
      <c r="A545" s="101"/>
      <c r="B545" s="101"/>
      <c r="O545" s="101"/>
    </row>
    <row r="546" spans="1:15" s="102" customFormat="1">
      <c r="A546" s="101"/>
      <c r="B546" s="101"/>
      <c r="O546" s="101"/>
    </row>
    <row r="547" spans="1:15" s="102" customFormat="1">
      <c r="A547" s="101"/>
      <c r="B547" s="101"/>
      <c r="O547" s="101"/>
    </row>
    <row r="548" spans="1:15" s="102" customFormat="1">
      <c r="A548" s="101"/>
      <c r="B548" s="101"/>
      <c r="O548" s="101"/>
    </row>
    <row r="549" spans="1:15" s="102" customFormat="1">
      <c r="A549" s="101"/>
      <c r="B549" s="101"/>
      <c r="O549" s="101"/>
    </row>
    <row r="550" spans="1:15" s="102" customFormat="1">
      <c r="A550" s="101"/>
      <c r="B550" s="101"/>
      <c r="O550" s="101"/>
    </row>
    <row r="551" spans="1:15" s="102" customFormat="1">
      <c r="A551" s="101"/>
      <c r="B551" s="101"/>
      <c r="O551" s="101"/>
    </row>
    <row r="552" spans="1:15" s="102" customFormat="1">
      <c r="A552" s="101"/>
      <c r="B552" s="101"/>
      <c r="O552" s="101"/>
    </row>
    <row r="553" spans="1:15" s="102" customFormat="1">
      <c r="A553" s="101"/>
      <c r="B553" s="101"/>
      <c r="O553" s="101"/>
    </row>
    <row r="554" spans="1:15" s="102" customFormat="1">
      <c r="A554" s="101"/>
      <c r="B554" s="101"/>
      <c r="O554" s="101"/>
    </row>
    <row r="555" spans="1:15" s="102" customFormat="1">
      <c r="A555" s="101"/>
      <c r="B555" s="101"/>
      <c r="O555" s="101"/>
    </row>
    <row r="556" spans="1:15" s="102" customFormat="1">
      <c r="A556" s="101"/>
      <c r="B556" s="101"/>
      <c r="O556" s="101"/>
    </row>
    <row r="557" spans="1:15" s="102" customFormat="1">
      <c r="A557" s="101"/>
      <c r="B557" s="101"/>
      <c r="O557" s="101"/>
    </row>
    <row r="558" spans="1:15" s="102" customFormat="1">
      <c r="A558" s="101"/>
      <c r="B558" s="101"/>
      <c r="O558" s="101"/>
    </row>
    <row r="559" spans="1:15" s="102" customFormat="1">
      <c r="A559" s="101"/>
      <c r="B559" s="101"/>
      <c r="O559" s="101"/>
    </row>
    <row r="560" spans="1:15" s="102" customFormat="1">
      <c r="A560" s="101"/>
      <c r="B560" s="101"/>
      <c r="O560" s="101"/>
    </row>
    <row r="561" spans="1:15" s="102" customFormat="1">
      <c r="A561" s="101"/>
      <c r="B561" s="101"/>
      <c r="O561" s="101"/>
    </row>
    <row r="562" spans="1:15" s="102" customFormat="1">
      <c r="A562" s="101"/>
      <c r="B562" s="101"/>
      <c r="O562" s="101"/>
    </row>
    <row r="563" spans="1:15" s="102" customFormat="1">
      <c r="A563" s="101"/>
      <c r="B563" s="101"/>
      <c r="O563" s="101"/>
    </row>
    <row r="564" spans="1:15" s="102" customFormat="1">
      <c r="A564" s="101"/>
      <c r="B564" s="101"/>
      <c r="O564" s="101"/>
    </row>
    <row r="565" spans="1:15" s="102" customFormat="1">
      <c r="A565" s="101"/>
      <c r="B565" s="101"/>
      <c r="O565" s="101"/>
    </row>
    <row r="566" spans="1:15" s="102" customFormat="1">
      <c r="A566" s="101"/>
      <c r="B566" s="101"/>
      <c r="O566" s="101"/>
    </row>
    <row r="567" spans="1:15" s="102" customFormat="1">
      <c r="A567" s="101"/>
      <c r="B567" s="101"/>
      <c r="O567" s="101"/>
    </row>
    <row r="568" spans="1:15" s="102" customFormat="1">
      <c r="A568" s="101"/>
      <c r="B568" s="101"/>
      <c r="O568" s="101"/>
    </row>
    <row r="569" spans="1:15" s="102" customFormat="1">
      <c r="A569" s="101"/>
      <c r="B569" s="101"/>
      <c r="O569" s="101"/>
    </row>
    <row r="570" spans="1:15" s="102" customFormat="1">
      <c r="A570" s="101"/>
      <c r="B570" s="101"/>
      <c r="O570" s="101"/>
    </row>
    <row r="571" spans="1:15" s="102" customFormat="1">
      <c r="A571" s="101"/>
      <c r="B571" s="101"/>
      <c r="O571" s="101"/>
    </row>
    <row r="572" spans="1:15" s="102" customFormat="1">
      <c r="A572" s="101"/>
      <c r="B572" s="101"/>
      <c r="O572" s="101"/>
    </row>
    <row r="573" spans="1:15" s="102" customFormat="1">
      <c r="A573" s="101"/>
      <c r="B573" s="101"/>
      <c r="O573" s="101"/>
    </row>
    <row r="574" spans="1:15" s="102" customFormat="1">
      <c r="A574" s="101"/>
      <c r="B574" s="101"/>
      <c r="O574" s="101"/>
    </row>
    <row r="575" spans="1:15" s="102" customFormat="1">
      <c r="A575" s="101"/>
      <c r="B575" s="101"/>
      <c r="O575" s="101"/>
    </row>
    <row r="576" spans="1:15" s="102" customFormat="1">
      <c r="A576" s="101"/>
      <c r="B576" s="101"/>
      <c r="O576" s="101"/>
    </row>
    <row r="577" spans="1:15" s="102" customFormat="1">
      <c r="A577" s="101"/>
      <c r="B577" s="101"/>
      <c r="O577" s="101"/>
    </row>
    <row r="578" spans="1:15" s="102" customFormat="1">
      <c r="A578" s="101"/>
      <c r="B578" s="101"/>
      <c r="O578" s="101"/>
    </row>
    <row r="579" spans="1:15" s="102" customFormat="1">
      <c r="A579" s="101"/>
      <c r="B579" s="101"/>
      <c r="O579" s="101"/>
    </row>
    <row r="580" spans="1:15" s="102" customFormat="1">
      <c r="A580" s="101"/>
      <c r="B580" s="101"/>
      <c r="O580" s="101"/>
    </row>
    <row r="581" spans="1:15" s="102" customFormat="1">
      <c r="A581" s="101"/>
      <c r="B581" s="101"/>
      <c r="O581" s="101"/>
    </row>
    <row r="582" spans="1:15" s="102" customFormat="1">
      <c r="A582" s="101"/>
      <c r="B582" s="101"/>
      <c r="O582" s="101"/>
    </row>
    <row r="583" spans="1:15" s="102" customFormat="1">
      <c r="A583" s="101"/>
      <c r="B583" s="101"/>
      <c r="O583" s="101"/>
    </row>
    <row r="584" spans="1:15" s="102" customFormat="1">
      <c r="A584" s="101"/>
      <c r="B584" s="101"/>
      <c r="O584" s="101"/>
    </row>
    <row r="585" spans="1:15" s="102" customFormat="1">
      <c r="A585" s="101"/>
      <c r="B585" s="101"/>
      <c r="O585" s="101"/>
    </row>
    <row r="586" spans="1:15" s="102" customFormat="1">
      <c r="A586" s="101"/>
      <c r="B586" s="101"/>
      <c r="O586" s="101"/>
    </row>
    <row r="587" spans="1:15" s="102" customFormat="1">
      <c r="A587" s="101"/>
      <c r="B587" s="101"/>
      <c r="O587" s="101"/>
    </row>
    <row r="588" spans="1:15" s="102" customFormat="1">
      <c r="A588" s="101"/>
      <c r="B588" s="101"/>
      <c r="O588" s="101"/>
    </row>
    <row r="589" spans="1:15" s="102" customFormat="1">
      <c r="A589" s="101"/>
      <c r="B589" s="101"/>
      <c r="O589" s="101"/>
    </row>
    <row r="590" spans="1:15" s="102" customFormat="1">
      <c r="A590" s="101"/>
      <c r="B590" s="101"/>
      <c r="O590" s="101"/>
    </row>
    <row r="591" spans="1:15" s="102" customFormat="1">
      <c r="A591" s="101"/>
      <c r="B591" s="101"/>
      <c r="O591" s="101"/>
    </row>
    <row r="592" spans="1:15" s="102" customFormat="1">
      <c r="A592" s="101"/>
      <c r="B592" s="101"/>
      <c r="O592" s="101"/>
    </row>
    <row r="593" spans="1:15" s="102" customFormat="1">
      <c r="A593" s="101"/>
      <c r="B593" s="101"/>
      <c r="O593" s="101"/>
    </row>
    <row r="594" spans="1:15" s="102" customFormat="1">
      <c r="A594" s="101"/>
      <c r="B594" s="101"/>
      <c r="O594" s="101"/>
    </row>
    <row r="595" spans="1:15" s="102" customFormat="1">
      <c r="A595" s="101"/>
      <c r="B595" s="101"/>
      <c r="O595" s="101"/>
    </row>
    <row r="596" spans="1:15" s="102" customFormat="1">
      <c r="A596" s="101"/>
      <c r="B596" s="101"/>
      <c r="O596" s="101"/>
    </row>
    <row r="597" spans="1:15" s="102" customFormat="1">
      <c r="A597" s="101"/>
      <c r="B597" s="101"/>
      <c r="O597" s="101"/>
    </row>
    <row r="598" spans="1:15" s="102" customFormat="1">
      <c r="A598" s="101"/>
      <c r="B598" s="101"/>
      <c r="O598" s="101"/>
    </row>
    <row r="599" spans="1:15" s="102" customFormat="1">
      <c r="A599" s="101"/>
      <c r="B599" s="101"/>
      <c r="O599" s="101"/>
    </row>
    <row r="600" spans="1:15" s="102" customFormat="1">
      <c r="A600" s="101"/>
      <c r="B600" s="101"/>
      <c r="O600" s="101"/>
    </row>
    <row r="601" spans="1:15" s="102" customFormat="1">
      <c r="A601" s="101"/>
      <c r="B601" s="101"/>
      <c r="O601" s="101"/>
    </row>
    <row r="602" spans="1:15" s="102" customFormat="1">
      <c r="A602" s="101"/>
      <c r="B602" s="101"/>
      <c r="O602" s="101"/>
    </row>
    <row r="603" spans="1:15" s="102" customFormat="1">
      <c r="A603" s="101"/>
      <c r="B603" s="101"/>
      <c r="O603" s="101"/>
    </row>
    <row r="604" spans="1:15" s="102" customFormat="1">
      <c r="A604" s="101"/>
      <c r="B604" s="101"/>
      <c r="O604" s="101"/>
    </row>
    <row r="605" spans="1:15" s="102" customFormat="1">
      <c r="A605" s="101"/>
      <c r="B605" s="101"/>
      <c r="O605" s="101"/>
    </row>
    <row r="606" spans="1:15" s="102" customFormat="1">
      <c r="A606" s="101"/>
      <c r="B606" s="101"/>
      <c r="O606" s="101"/>
    </row>
    <row r="607" spans="1:15" s="102" customFormat="1">
      <c r="A607" s="101"/>
      <c r="B607" s="101"/>
      <c r="O607" s="101"/>
    </row>
    <row r="608" spans="1:15" s="102" customFormat="1">
      <c r="A608" s="101"/>
      <c r="B608" s="101"/>
      <c r="O608" s="101"/>
    </row>
    <row r="609" spans="1:15" s="102" customFormat="1">
      <c r="A609" s="101"/>
      <c r="B609" s="101"/>
      <c r="O609" s="101"/>
    </row>
    <row r="610" spans="1:15" s="102" customFormat="1">
      <c r="A610" s="101"/>
      <c r="B610" s="101"/>
      <c r="O610" s="101"/>
    </row>
    <row r="611" spans="1:15" s="102" customFormat="1">
      <c r="A611" s="101"/>
      <c r="B611" s="101"/>
      <c r="O611" s="101"/>
    </row>
    <row r="612" spans="1:15" s="102" customFormat="1">
      <c r="A612" s="101"/>
      <c r="B612" s="101"/>
      <c r="O612" s="101"/>
    </row>
    <row r="613" spans="1:15" s="102" customFormat="1">
      <c r="A613" s="101"/>
      <c r="B613" s="101"/>
      <c r="O613" s="101"/>
    </row>
    <row r="614" spans="1:15" s="102" customFormat="1">
      <c r="A614" s="101"/>
      <c r="B614" s="101"/>
      <c r="O614" s="101"/>
    </row>
    <row r="615" spans="1:15" s="102" customFormat="1">
      <c r="A615" s="101"/>
      <c r="B615" s="101"/>
      <c r="O615" s="101"/>
    </row>
    <row r="616" spans="1:15" s="102" customFormat="1">
      <c r="A616" s="101"/>
      <c r="B616" s="101"/>
      <c r="O616" s="101"/>
    </row>
    <row r="617" spans="1:15" s="102" customFormat="1">
      <c r="A617" s="101"/>
      <c r="B617" s="101"/>
      <c r="O617" s="101"/>
    </row>
    <row r="618" spans="1:15" s="102" customFormat="1">
      <c r="A618" s="101"/>
      <c r="B618" s="101"/>
      <c r="O618" s="101"/>
    </row>
    <row r="619" spans="1:15" s="102" customFormat="1">
      <c r="A619" s="101"/>
      <c r="B619" s="101"/>
      <c r="O619" s="101"/>
    </row>
    <row r="620" spans="1:15" s="102" customFormat="1">
      <c r="A620" s="101"/>
      <c r="B620" s="101"/>
      <c r="O620" s="101"/>
    </row>
    <row r="621" spans="1:15" s="102" customFormat="1">
      <c r="A621" s="101"/>
      <c r="B621" s="101"/>
      <c r="O621" s="101"/>
    </row>
    <row r="622" spans="1:15" s="102" customFormat="1">
      <c r="A622" s="101"/>
      <c r="B622" s="101"/>
      <c r="O622" s="101"/>
    </row>
    <row r="623" spans="1:15" s="102" customFormat="1">
      <c r="A623" s="101"/>
      <c r="B623" s="101"/>
      <c r="O623" s="101"/>
    </row>
    <row r="624" spans="1:15" s="102" customFormat="1">
      <c r="A624" s="101"/>
      <c r="B624" s="101"/>
      <c r="O624" s="101"/>
    </row>
    <row r="625" spans="1:15" s="102" customFormat="1">
      <c r="A625" s="101"/>
      <c r="B625" s="101"/>
      <c r="O625" s="101"/>
    </row>
    <row r="626" spans="1:15" s="102" customFormat="1">
      <c r="A626" s="101"/>
      <c r="B626" s="101"/>
      <c r="O626" s="101"/>
    </row>
    <row r="627" spans="1:15" s="102" customFormat="1">
      <c r="A627" s="101"/>
      <c r="B627" s="101"/>
      <c r="O627" s="101"/>
    </row>
    <row r="628" spans="1:15" s="102" customFormat="1">
      <c r="A628" s="101"/>
      <c r="B628" s="101"/>
      <c r="O628" s="101"/>
    </row>
    <row r="629" spans="1:15" s="102" customFormat="1">
      <c r="A629" s="101"/>
      <c r="B629" s="101"/>
      <c r="O629" s="101"/>
    </row>
    <row r="630" spans="1:15" s="102" customFormat="1">
      <c r="A630" s="101"/>
      <c r="B630" s="101"/>
      <c r="O630" s="101"/>
    </row>
    <row r="631" spans="1:15" s="102" customFormat="1">
      <c r="A631" s="101"/>
      <c r="B631" s="101"/>
      <c r="O631" s="101"/>
    </row>
    <row r="632" spans="1:15" s="102" customFormat="1">
      <c r="A632" s="101"/>
      <c r="B632" s="101"/>
      <c r="O632" s="101"/>
    </row>
    <row r="633" spans="1:15" s="102" customFormat="1">
      <c r="A633" s="101"/>
      <c r="B633" s="101"/>
      <c r="O633" s="101"/>
    </row>
    <row r="634" spans="1:15" s="102" customFormat="1">
      <c r="A634" s="101"/>
      <c r="B634" s="101"/>
      <c r="O634" s="101"/>
    </row>
    <row r="635" spans="1:15" s="102" customFormat="1">
      <c r="A635" s="101"/>
      <c r="B635" s="101"/>
      <c r="O635" s="101"/>
    </row>
    <row r="636" spans="1:15" s="102" customFormat="1">
      <c r="A636" s="101"/>
      <c r="B636" s="101"/>
      <c r="O636" s="101"/>
    </row>
    <row r="637" spans="1:15" s="102" customFormat="1">
      <c r="A637" s="101"/>
      <c r="B637" s="101"/>
      <c r="O637" s="101"/>
    </row>
    <row r="638" spans="1:15" s="102" customFormat="1">
      <c r="A638" s="101"/>
      <c r="B638" s="101"/>
      <c r="O638" s="101"/>
    </row>
    <row r="639" spans="1:15" s="102" customFormat="1">
      <c r="A639" s="101"/>
      <c r="B639" s="101"/>
      <c r="O639" s="101"/>
    </row>
    <row r="640" spans="1:15" s="102" customFormat="1">
      <c r="A640" s="101"/>
      <c r="B640" s="101"/>
      <c r="O640" s="101"/>
    </row>
    <row r="641" spans="1:15" s="102" customFormat="1">
      <c r="A641" s="101"/>
      <c r="B641" s="101"/>
      <c r="O641" s="101"/>
    </row>
    <row r="642" spans="1:15" s="102" customFormat="1">
      <c r="A642" s="101"/>
      <c r="B642" s="101"/>
      <c r="O642" s="101"/>
    </row>
    <row r="643" spans="1:15" s="102" customFormat="1">
      <c r="A643" s="101"/>
      <c r="B643" s="101"/>
      <c r="O643" s="101"/>
    </row>
    <row r="644" spans="1:15" s="102" customFormat="1">
      <c r="A644" s="101"/>
      <c r="B644" s="101"/>
      <c r="O644" s="101"/>
    </row>
    <row r="645" spans="1:15" s="102" customFormat="1">
      <c r="A645" s="101"/>
      <c r="B645" s="101"/>
      <c r="O645" s="101"/>
    </row>
    <row r="646" spans="1:15" s="102" customFormat="1">
      <c r="A646" s="101"/>
      <c r="B646" s="101"/>
      <c r="O646" s="101"/>
    </row>
    <row r="647" spans="1:15" s="102" customFormat="1">
      <c r="A647" s="101"/>
      <c r="B647" s="101"/>
      <c r="O647" s="101"/>
    </row>
    <row r="648" spans="1:15" s="102" customFormat="1">
      <c r="A648" s="101"/>
      <c r="B648" s="101"/>
      <c r="O648" s="101"/>
    </row>
    <row r="649" spans="1:15" s="102" customFormat="1">
      <c r="A649" s="101"/>
      <c r="B649" s="101"/>
      <c r="O649" s="101"/>
    </row>
    <row r="650" spans="1:15" s="102" customFormat="1">
      <c r="A650" s="101"/>
      <c r="B650" s="101"/>
      <c r="O650" s="101"/>
    </row>
    <row r="651" spans="1:15" s="102" customFormat="1">
      <c r="A651" s="101"/>
      <c r="B651" s="101"/>
      <c r="O651" s="101"/>
    </row>
    <row r="652" spans="1:15" s="102" customFormat="1">
      <c r="A652" s="101"/>
      <c r="B652" s="101"/>
      <c r="O652" s="101"/>
    </row>
    <row r="653" spans="1:15" s="102" customFormat="1">
      <c r="A653" s="101"/>
      <c r="B653" s="101"/>
      <c r="O653" s="101"/>
    </row>
    <row r="654" spans="1:15" s="102" customFormat="1">
      <c r="A654" s="101"/>
      <c r="B654" s="101"/>
      <c r="O654" s="101"/>
    </row>
    <row r="655" spans="1:15" s="102" customFormat="1">
      <c r="A655" s="101"/>
      <c r="B655" s="101"/>
      <c r="O655" s="101"/>
    </row>
    <row r="656" spans="1:15" s="102" customFormat="1">
      <c r="A656" s="101"/>
      <c r="B656" s="101"/>
      <c r="O656" s="101"/>
    </row>
    <row r="657" spans="1:15" s="102" customFormat="1">
      <c r="A657" s="101"/>
      <c r="B657" s="101"/>
      <c r="O657" s="101"/>
    </row>
    <row r="658" spans="1:15" s="102" customFormat="1">
      <c r="A658" s="101"/>
      <c r="B658" s="101"/>
      <c r="O658" s="101"/>
    </row>
    <row r="659" spans="1:15" s="102" customFormat="1">
      <c r="A659" s="101"/>
      <c r="B659" s="101"/>
      <c r="O659" s="101"/>
    </row>
    <row r="660" spans="1:15" s="102" customFormat="1">
      <c r="A660" s="101"/>
      <c r="B660" s="101"/>
      <c r="O660" s="101"/>
    </row>
    <row r="661" spans="1:15" s="102" customFormat="1">
      <c r="A661" s="101"/>
      <c r="B661" s="101"/>
      <c r="O661" s="101"/>
    </row>
    <row r="662" spans="1:15" s="102" customFormat="1">
      <c r="A662" s="101"/>
      <c r="B662" s="101"/>
      <c r="O662" s="101"/>
    </row>
    <row r="663" spans="1:15" s="102" customFormat="1">
      <c r="A663" s="101"/>
      <c r="B663" s="101"/>
      <c r="O663" s="101"/>
    </row>
    <row r="664" spans="1:15" s="102" customFormat="1">
      <c r="A664" s="101"/>
      <c r="B664" s="101"/>
      <c r="O664" s="101"/>
    </row>
    <row r="665" spans="1:15" s="102" customFormat="1">
      <c r="A665" s="101"/>
      <c r="B665" s="101"/>
      <c r="O665" s="101"/>
    </row>
    <row r="666" spans="1:15" s="102" customFormat="1">
      <c r="A666" s="101"/>
      <c r="B666" s="101"/>
      <c r="O666" s="101"/>
    </row>
    <row r="667" spans="1:15" s="102" customFormat="1">
      <c r="A667" s="101"/>
      <c r="B667" s="101"/>
      <c r="O667" s="101"/>
    </row>
    <row r="668" spans="1:15" s="102" customFormat="1">
      <c r="A668" s="101"/>
      <c r="B668" s="101"/>
      <c r="O668" s="101"/>
    </row>
    <row r="669" spans="1:15" s="102" customFormat="1">
      <c r="A669" s="101"/>
      <c r="B669" s="101"/>
      <c r="O669" s="101"/>
    </row>
    <row r="670" spans="1:15" s="102" customFormat="1">
      <c r="A670" s="101"/>
      <c r="B670" s="101"/>
      <c r="O670" s="101"/>
    </row>
    <row r="671" spans="1:15" s="102" customFormat="1">
      <c r="A671" s="101"/>
      <c r="B671" s="101"/>
      <c r="O671" s="101"/>
    </row>
    <row r="672" spans="1:15" s="102" customFormat="1">
      <c r="A672" s="101"/>
      <c r="B672" s="101"/>
      <c r="O672" s="101"/>
    </row>
    <row r="673" spans="1:15" s="102" customFormat="1">
      <c r="A673" s="101"/>
      <c r="B673" s="101"/>
      <c r="O673" s="101"/>
    </row>
    <row r="674" spans="1:15" s="102" customFormat="1">
      <c r="A674" s="101"/>
      <c r="B674" s="101"/>
      <c r="O674" s="101"/>
    </row>
    <row r="675" spans="1:15" s="102" customFormat="1">
      <c r="A675" s="101"/>
      <c r="B675" s="101"/>
      <c r="O675" s="101"/>
    </row>
    <row r="676" spans="1:15" s="102" customFormat="1">
      <c r="A676" s="101"/>
      <c r="B676" s="101"/>
      <c r="O676" s="101"/>
    </row>
    <row r="677" spans="1:15" s="102" customFormat="1">
      <c r="A677" s="101"/>
      <c r="B677" s="101"/>
      <c r="O677" s="101"/>
    </row>
    <row r="678" spans="1:15" s="102" customFormat="1">
      <c r="A678" s="101"/>
      <c r="B678" s="101"/>
      <c r="O678" s="101"/>
    </row>
    <row r="679" spans="1:15" s="102" customFormat="1">
      <c r="A679" s="101"/>
      <c r="B679" s="101"/>
      <c r="O679" s="101"/>
    </row>
    <row r="680" spans="1:15" s="102" customFormat="1">
      <c r="A680" s="101"/>
      <c r="B680" s="101"/>
      <c r="O680" s="101"/>
    </row>
    <row r="681" spans="1:15" s="102" customFormat="1">
      <c r="A681" s="101"/>
      <c r="B681" s="101"/>
      <c r="O681" s="101"/>
    </row>
    <row r="682" spans="1:15" s="102" customFormat="1">
      <c r="A682" s="101"/>
      <c r="B682" s="101"/>
      <c r="O682" s="101"/>
    </row>
    <row r="683" spans="1:15" s="102" customFormat="1">
      <c r="A683" s="101"/>
      <c r="B683" s="101"/>
      <c r="O683" s="101"/>
    </row>
    <row r="684" spans="1:15" s="102" customFormat="1">
      <c r="A684" s="101"/>
      <c r="B684" s="101"/>
      <c r="O684" s="101"/>
    </row>
    <row r="685" spans="1:15" s="102" customFormat="1">
      <c r="A685" s="101"/>
      <c r="B685" s="101"/>
      <c r="O685" s="101"/>
    </row>
    <row r="686" spans="1:15" s="102" customFormat="1">
      <c r="A686" s="101"/>
      <c r="B686" s="101"/>
      <c r="O686" s="101"/>
    </row>
    <row r="687" spans="1:15" s="102" customFormat="1">
      <c r="A687" s="101"/>
      <c r="B687" s="101"/>
      <c r="O687" s="101"/>
    </row>
    <row r="688" spans="1:15" s="102" customFormat="1">
      <c r="A688" s="101"/>
      <c r="B688" s="101"/>
      <c r="O688" s="101"/>
    </row>
    <row r="689" spans="1:15" s="102" customFormat="1">
      <c r="A689" s="101"/>
      <c r="B689" s="101"/>
      <c r="O689" s="101"/>
    </row>
    <row r="690" spans="1:15" s="102" customFormat="1">
      <c r="A690" s="101"/>
      <c r="B690" s="101"/>
      <c r="O690" s="101"/>
    </row>
    <row r="691" spans="1:15" s="102" customFormat="1">
      <c r="A691" s="101"/>
      <c r="B691" s="101"/>
      <c r="O691" s="101"/>
    </row>
    <row r="692" spans="1:15" s="102" customFormat="1">
      <c r="A692" s="101"/>
      <c r="B692" s="101"/>
      <c r="O692" s="101"/>
    </row>
    <row r="693" spans="1:15" s="102" customFormat="1">
      <c r="A693" s="101"/>
      <c r="B693" s="101"/>
      <c r="O693" s="101"/>
    </row>
    <row r="694" spans="1:15" s="102" customFormat="1">
      <c r="A694" s="101"/>
      <c r="B694" s="101"/>
      <c r="O694" s="101"/>
    </row>
    <row r="695" spans="1:15" s="102" customFormat="1">
      <c r="A695" s="101"/>
      <c r="B695" s="101"/>
      <c r="O695" s="101"/>
    </row>
    <row r="696" spans="1:15" s="102" customFormat="1">
      <c r="A696" s="101"/>
      <c r="B696" s="101"/>
      <c r="O696" s="101"/>
    </row>
    <row r="697" spans="1:15" s="102" customFormat="1">
      <c r="A697" s="101"/>
      <c r="B697" s="101"/>
      <c r="O697" s="101"/>
    </row>
    <row r="698" spans="1:15" s="102" customFormat="1">
      <c r="A698" s="101"/>
      <c r="B698" s="101"/>
      <c r="O698" s="101"/>
    </row>
    <row r="699" spans="1:15" s="102" customFormat="1">
      <c r="A699" s="101"/>
      <c r="B699" s="101"/>
      <c r="O699" s="101"/>
    </row>
    <row r="700" spans="1:15" s="102" customFormat="1">
      <c r="A700" s="101"/>
      <c r="B700" s="101"/>
      <c r="O700" s="101"/>
    </row>
    <row r="701" spans="1:15" s="102" customFormat="1">
      <c r="A701" s="101"/>
      <c r="B701" s="101"/>
      <c r="O701" s="101"/>
    </row>
    <row r="702" spans="1:15" s="102" customFormat="1">
      <c r="A702" s="101"/>
      <c r="B702" s="101"/>
      <c r="O702" s="101"/>
    </row>
    <row r="703" spans="1:15" s="102" customFormat="1">
      <c r="A703" s="101"/>
      <c r="B703" s="101"/>
      <c r="O703" s="101"/>
    </row>
    <row r="704" spans="1:15" s="102" customFormat="1">
      <c r="A704" s="101"/>
      <c r="B704" s="101"/>
      <c r="O704" s="101"/>
    </row>
    <row r="705" spans="1:15" s="102" customFormat="1">
      <c r="A705" s="101"/>
      <c r="B705" s="101"/>
      <c r="O705" s="101"/>
    </row>
    <row r="706" spans="1:15" s="102" customFormat="1">
      <c r="A706" s="101"/>
      <c r="B706" s="101"/>
      <c r="O706" s="101"/>
    </row>
    <row r="707" spans="1:15" s="102" customFormat="1">
      <c r="A707" s="101"/>
      <c r="B707" s="101"/>
      <c r="O707" s="101"/>
    </row>
    <row r="708" spans="1:15" s="102" customFormat="1">
      <c r="A708" s="101"/>
      <c r="B708" s="101"/>
      <c r="O708" s="101"/>
    </row>
    <row r="709" spans="1:15" s="102" customFormat="1">
      <c r="A709" s="101"/>
      <c r="B709" s="101"/>
      <c r="O709" s="101"/>
    </row>
    <row r="710" spans="1:15" s="102" customFormat="1">
      <c r="A710" s="101"/>
      <c r="B710" s="101"/>
      <c r="O710" s="101"/>
    </row>
    <row r="711" spans="1:15" s="102" customFormat="1">
      <c r="A711" s="101"/>
      <c r="B711" s="101"/>
      <c r="O711" s="101"/>
    </row>
    <row r="712" spans="1:15" s="102" customFormat="1">
      <c r="A712" s="101"/>
      <c r="B712" s="101"/>
      <c r="O712" s="101"/>
    </row>
    <row r="713" spans="1:15" s="102" customFormat="1">
      <c r="A713" s="101"/>
      <c r="B713" s="101"/>
      <c r="O713" s="101"/>
    </row>
    <row r="714" spans="1:15" s="102" customFormat="1">
      <c r="A714" s="101"/>
      <c r="B714" s="101"/>
      <c r="O714" s="101"/>
    </row>
    <row r="715" spans="1:15" s="102" customFormat="1">
      <c r="A715" s="101"/>
      <c r="B715" s="101"/>
      <c r="O715" s="101"/>
    </row>
    <row r="716" spans="1:15" s="102" customFormat="1">
      <c r="A716" s="101"/>
      <c r="B716" s="101"/>
      <c r="O716" s="101"/>
    </row>
    <row r="717" spans="1:15" s="102" customFormat="1">
      <c r="A717" s="101"/>
      <c r="B717" s="101"/>
      <c r="O717" s="101"/>
    </row>
    <row r="718" spans="1:15" s="102" customFormat="1">
      <c r="A718" s="101"/>
      <c r="B718" s="101"/>
      <c r="O718" s="101"/>
    </row>
    <row r="719" spans="1:15" s="102" customFormat="1">
      <c r="A719" s="101"/>
      <c r="B719" s="101"/>
      <c r="O719" s="101"/>
    </row>
    <row r="720" spans="1:15" s="102" customFormat="1">
      <c r="A720" s="101"/>
      <c r="B720" s="101"/>
      <c r="O720" s="101"/>
    </row>
    <row r="721" spans="1:15" s="102" customFormat="1">
      <c r="A721" s="101"/>
      <c r="B721" s="101"/>
      <c r="O721" s="101"/>
    </row>
    <row r="722" spans="1:15" s="102" customFormat="1">
      <c r="A722" s="101"/>
      <c r="B722" s="101"/>
      <c r="O722" s="101"/>
    </row>
    <row r="723" spans="1:15" s="102" customFormat="1">
      <c r="A723" s="101"/>
      <c r="B723" s="101"/>
      <c r="O723" s="101"/>
    </row>
    <row r="724" spans="1:15" s="102" customFormat="1">
      <c r="A724" s="101"/>
      <c r="B724" s="101"/>
      <c r="O724" s="101"/>
    </row>
    <row r="725" spans="1:15" s="102" customFormat="1">
      <c r="A725" s="101"/>
      <c r="B725" s="101"/>
      <c r="O725" s="101"/>
    </row>
    <row r="726" spans="1:15" s="102" customFormat="1">
      <c r="A726" s="101"/>
      <c r="B726" s="101"/>
      <c r="O726" s="101"/>
    </row>
    <row r="727" spans="1:15" s="102" customFormat="1">
      <c r="A727" s="101"/>
      <c r="B727" s="101"/>
      <c r="O727" s="101"/>
    </row>
    <row r="728" spans="1:15" s="102" customFormat="1">
      <c r="A728" s="101"/>
      <c r="B728" s="101"/>
      <c r="O728" s="101"/>
    </row>
    <row r="729" spans="1:15" s="102" customFormat="1">
      <c r="A729" s="101"/>
      <c r="B729" s="101"/>
      <c r="O729" s="101"/>
    </row>
    <row r="730" spans="1:15" s="102" customFormat="1">
      <c r="A730" s="101"/>
      <c r="B730" s="101"/>
      <c r="O730" s="101"/>
    </row>
    <row r="731" spans="1:15" s="102" customFormat="1">
      <c r="A731" s="101"/>
      <c r="B731" s="101"/>
      <c r="O731" s="101"/>
    </row>
    <row r="732" spans="1:15" s="102" customFormat="1">
      <c r="A732" s="101"/>
      <c r="B732" s="101"/>
      <c r="O732" s="101"/>
    </row>
    <row r="733" spans="1:15" s="102" customFormat="1">
      <c r="A733" s="101"/>
      <c r="B733" s="101"/>
      <c r="O733" s="101"/>
    </row>
    <row r="734" spans="1:15" s="102" customFormat="1">
      <c r="A734" s="101"/>
      <c r="B734" s="101"/>
      <c r="O734" s="101"/>
    </row>
    <row r="735" spans="1:15" s="102" customFormat="1">
      <c r="A735" s="101"/>
      <c r="B735" s="101"/>
      <c r="O735" s="101"/>
    </row>
    <row r="736" spans="1:15" s="102" customFormat="1">
      <c r="A736" s="101"/>
      <c r="B736" s="101"/>
      <c r="O736" s="101"/>
    </row>
    <row r="737" spans="1:15" s="102" customFormat="1">
      <c r="A737" s="101"/>
      <c r="B737" s="101"/>
      <c r="O737" s="101"/>
    </row>
    <row r="738" spans="1:15" s="102" customFormat="1">
      <c r="A738" s="101"/>
      <c r="B738" s="101"/>
      <c r="O738" s="101"/>
    </row>
    <row r="739" spans="1:15" s="102" customFormat="1">
      <c r="A739" s="101"/>
      <c r="B739" s="101"/>
      <c r="O739" s="101"/>
    </row>
    <row r="740" spans="1:15" s="102" customFormat="1">
      <c r="A740" s="101"/>
      <c r="B740" s="101"/>
      <c r="O740" s="101"/>
    </row>
    <row r="741" spans="1:15" s="102" customFormat="1">
      <c r="A741" s="101"/>
      <c r="B741" s="101"/>
      <c r="O741" s="101"/>
    </row>
    <row r="742" spans="1:15" s="102" customFormat="1">
      <c r="A742" s="101"/>
      <c r="B742" s="101"/>
      <c r="O742" s="101"/>
    </row>
    <row r="743" spans="1:15" s="102" customFormat="1">
      <c r="A743" s="101"/>
      <c r="B743" s="101"/>
      <c r="O743" s="101"/>
    </row>
    <row r="744" spans="1:15" s="102" customFormat="1">
      <c r="A744" s="101"/>
      <c r="B744" s="101"/>
      <c r="O744" s="101"/>
    </row>
    <row r="745" spans="1:15" s="102" customFormat="1">
      <c r="A745" s="101"/>
      <c r="B745" s="101"/>
      <c r="O745" s="101"/>
    </row>
    <row r="746" spans="1:15" s="102" customFormat="1">
      <c r="A746" s="101"/>
      <c r="B746" s="101"/>
      <c r="O746" s="101"/>
    </row>
    <row r="747" spans="1:15" s="102" customFormat="1">
      <c r="A747" s="101"/>
      <c r="B747" s="101"/>
      <c r="O747" s="101"/>
    </row>
    <row r="748" spans="1:15" s="102" customFormat="1">
      <c r="A748" s="101"/>
      <c r="B748" s="101"/>
      <c r="O748" s="101"/>
    </row>
    <row r="749" spans="1:15" s="102" customFormat="1">
      <c r="A749" s="101"/>
      <c r="B749" s="101"/>
      <c r="O749" s="101"/>
    </row>
    <row r="750" spans="1:15" s="102" customFormat="1">
      <c r="A750" s="101"/>
      <c r="B750" s="101"/>
      <c r="O750" s="101"/>
    </row>
    <row r="751" spans="1:15" s="102" customFormat="1">
      <c r="A751" s="101"/>
      <c r="B751" s="101"/>
      <c r="O751" s="101"/>
    </row>
    <row r="752" spans="1:15" s="102" customFormat="1">
      <c r="A752" s="101"/>
      <c r="B752" s="101"/>
      <c r="O752" s="101"/>
    </row>
    <row r="753" spans="1:15" s="102" customFormat="1">
      <c r="A753" s="101"/>
      <c r="B753" s="101"/>
      <c r="O753" s="101"/>
    </row>
    <row r="754" spans="1:15" s="102" customFormat="1">
      <c r="A754" s="101"/>
      <c r="B754" s="101"/>
      <c r="O754" s="101"/>
    </row>
    <row r="755" spans="1:15" s="102" customFormat="1">
      <c r="A755" s="101"/>
      <c r="B755" s="101"/>
      <c r="O755" s="101"/>
    </row>
    <row r="756" spans="1:15" s="102" customFormat="1">
      <c r="A756" s="101"/>
      <c r="B756" s="101"/>
      <c r="O756" s="101"/>
    </row>
    <row r="757" spans="1:15" s="102" customFormat="1">
      <c r="A757" s="101"/>
      <c r="B757" s="101"/>
      <c r="O757" s="101"/>
    </row>
    <row r="758" spans="1:15" s="102" customFormat="1">
      <c r="A758" s="101"/>
      <c r="B758" s="101"/>
      <c r="O758" s="101"/>
    </row>
    <row r="759" spans="1:15" s="102" customFormat="1">
      <c r="A759" s="101"/>
      <c r="B759" s="101"/>
      <c r="O759" s="101"/>
    </row>
    <row r="760" spans="1:15" s="102" customFormat="1">
      <c r="A760" s="101"/>
      <c r="B760" s="101"/>
      <c r="O760" s="101"/>
    </row>
    <row r="761" spans="1:15" s="102" customFormat="1">
      <c r="A761" s="101"/>
      <c r="B761" s="101"/>
      <c r="O761" s="101"/>
    </row>
    <row r="762" spans="1:15" s="102" customFormat="1">
      <c r="A762" s="101"/>
      <c r="B762" s="101"/>
      <c r="O762" s="101"/>
    </row>
    <row r="763" spans="1:15" s="102" customFormat="1">
      <c r="A763" s="101"/>
      <c r="B763" s="101"/>
      <c r="O763" s="101"/>
    </row>
    <row r="764" spans="1:15" s="102" customFormat="1">
      <c r="A764" s="101"/>
      <c r="B764" s="101"/>
      <c r="O764" s="101"/>
    </row>
    <row r="765" spans="1:15" s="102" customFormat="1">
      <c r="A765" s="101"/>
      <c r="B765" s="101"/>
      <c r="O765" s="101"/>
    </row>
    <row r="766" spans="1:15" s="102" customFormat="1">
      <c r="A766" s="101"/>
      <c r="B766" s="101"/>
      <c r="O766" s="101"/>
    </row>
    <row r="767" spans="1:15" s="102" customFormat="1">
      <c r="A767" s="101"/>
      <c r="B767" s="101"/>
      <c r="O767" s="101"/>
    </row>
    <row r="768" spans="1:15" s="102" customFormat="1">
      <c r="A768" s="101"/>
      <c r="B768" s="101"/>
      <c r="O768" s="101"/>
    </row>
    <row r="769" spans="1:19" s="102" customFormat="1">
      <c r="A769" s="101"/>
      <c r="B769" s="101"/>
      <c r="O769" s="101"/>
    </row>
    <row r="770" spans="1:19" s="102" customFormat="1">
      <c r="A770" s="101"/>
      <c r="B770" s="101"/>
      <c r="O770" s="101"/>
    </row>
    <row r="771" spans="1:19" s="102" customFormat="1">
      <c r="A771" s="101"/>
      <c r="B771" s="101"/>
      <c r="O771" s="101"/>
    </row>
    <row r="772" spans="1:19" s="102" customFormat="1">
      <c r="A772" s="101"/>
      <c r="B772" s="101"/>
      <c r="O772" s="101"/>
    </row>
    <row r="773" spans="1:19" s="102" customFormat="1">
      <c r="A773" s="101"/>
      <c r="B773" s="101"/>
      <c r="O773" s="101"/>
    </row>
    <row r="774" spans="1:19" s="102" customFormat="1">
      <c r="A774" s="101"/>
      <c r="B774" s="101"/>
      <c r="O774" s="101"/>
    </row>
    <row r="775" spans="1:19" s="102" customFormat="1">
      <c r="A775" s="101"/>
      <c r="B775" s="101"/>
      <c r="O775" s="101"/>
    </row>
    <row r="776" spans="1:19" s="102" customFormat="1">
      <c r="A776" s="101"/>
      <c r="B776" s="101"/>
      <c r="O776" s="101"/>
    </row>
    <row r="777" spans="1:19" s="102" customFormat="1">
      <c r="A777" s="101"/>
      <c r="B777" s="101"/>
      <c r="O777" s="101"/>
    </row>
    <row r="778" spans="1:19" s="102" customFormat="1">
      <c r="A778" s="101"/>
      <c r="B778" s="101"/>
      <c r="O778" s="101"/>
    </row>
    <row r="779" spans="1:19" s="102" customFormat="1">
      <c r="A779" s="101"/>
      <c r="B779" s="101"/>
      <c r="O779" s="101"/>
    </row>
    <row r="780" spans="1:19" s="102" customFormat="1">
      <c r="A780" s="101"/>
      <c r="B780" s="101"/>
      <c r="O780" s="101"/>
    </row>
    <row r="781" spans="1:19" s="102" customFormat="1">
      <c r="A781" s="101"/>
      <c r="B781" s="101"/>
      <c r="O781" s="101"/>
    </row>
    <row r="782" spans="1:19" s="102" customFormat="1">
      <c r="A782" s="101"/>
      <c r="B782" s="101"/>
      <c r="O782" s="101"/>
    </row>
    <row r="783" spans="1:19" s="604" customFormat="1">
      <c r="A783" s="620"/>
      <c r="B783" s="453"/>
      <c r="C783" s="53"/>
      <c r="D783" s="53"/>
      <c r="E783" s="102"/>
      <c r="F783" s="102"/>
      <c r="G783" s="102"/>
      <c r="I783" s="53"/>
      <c r="J783" s="53"/>
      <c r="K783" s="53"/>
      <c r="L783" s="53"/>
      <c r="M783" s="53"/>
      <c r="N783" s="53"/>
      <c r="O783" s="453"/>
      <c r="P783" s="53"/>
      <c r="Q783" s="53"/>
      <c r="R783" s="53"/>
      <c r="S783" s="53"/>
    </row>
  </sheetData>
  <sortState ref="A11:S19">
    <sortCondition ref="A11:A19"/>
  </sortState>
  <mergeCells count="4">
    <mergeCell ref="F9:G9"/>
    <mergeCell ref="H9:I9"/>
    <mergeCell ref="J9:K9"/>
    <mergeCell ref="Q9:S9"/>
  </mergeCells>
  <hyperlinks>
    <hyperlink ref="M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25" max="13" man="1"/>
  </rowBreaks>
  <ignoredErrors>
    <ignoredError sqref="C11:C15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V787"/>
  <sheetViews>
    <sheetView showGridLines="0" zoomScale="85" zoomScaleNormal="85" workbookViewId="0">
      <pane xSplit="5" ySplit="10" topLeftCell="F11" activePane="bottomRight" state="frozen"/>
      <selection activeCell="C36" sqref="C36"/>
      <selection pane="topRight" activeCell="C36" sqref="C36"/>
      <selection pane="bottomLeft" activeCell="C36" sqref="C36"/>
      <selection pane="bottomRight" activeCell="R10" sqref="R10"/>
    </sheetView>
  </sheetViews>
  <sheetFormatPr defaultRowHeight="12.75"/>
  <cols>
    <col min="1" max="1" width="9.140625" style="53"/>
    <col min="2" max="2" width="8.5703125" style="453" customWidth="1"/>
    <col min="3" max="3" width="8.140625" style="53" customWidth="1"/>
    <col min="4" max="4" width="6.7109375" style="53" customWidth="1"/>
    <col min="5" max="5" width="25.140625" style="53" customWidth="1"/>
    <col min="6" max="6" width="9.5703125" style="53" customWidth="1"/>
    <col min="7" max="7" width="10.7109375" style="604" customWidth="1"/>
    <col min="8" max="8" width="11.140625" style="53" customWidth="1"/>
    <col min="9" max="9" width="10.5703125" style="604" customWidth="1"/>
    <col min="10" max="10" width="10.42578125" style="604" customWidth="1"/>
    <col min="11" max="11" width="12.28515625" style="604" customWidth="1"/>
    <col min="12" max="12" width="10.85546875" style="53" customWidth="1"/>
    <col min="13" max="13" width="12.28515625" style="604" customWidth="1"/>
    <col min="14" max="14" width="12.85546875" style="53" customWidth="1"/>
    <col min="15" max="15" width="11.140625" style="53" customWidth="1"/>
    <col min="16" max="16" width="10.28515625" style="53" customWidth="1"/>
    <col min="17" max="17" width="15.140625" style="53" customWidth="1"/>
    <col min="18" max="18" width="13.28515625" style="53" customWidth="1"/>
    <col min="19" max="19" width="4.85546875" style="53" customWidth="1"/>
    <col min="20" max="20" width="20.140625" style="53" customWidth="1"/>
    <col min="21" max="21" width="16.42578125" style="53" customWidth="1"/>
    <col min="22" max="22" width="26" style="53" customWidth="1"/>
    <col min="23" max="16384" width="9.140625" style="53"/>
  </cols>
  <sheetData>
    <row r="1" spans="1:22" ht="13.5" thickBot="1">
      <c r="G1" s="102"/>
      <c r="H1" s="103" t="s">
        <v>1042</v>
      </c>
      <c r="I1" s="102"/>
      <c r="J1" s="582"/>
      <c r="K1" s="583"/>
      <c r="M1" s="102"/>
      <c r="N1" s="102"/>
      <c r="O1" s="102"/>
      <c r="P1" s="102"/>
      <c r="Q1" s="703" t="s">
        <v>1123</v>
      </c>
    </row>
    <row r="2" spans="1:22">
      <c r="G2" s="102"/>
      <c r="H2" s="103" t="s">
        <v>1503</v>
      </c>
      <c r="I2" s="102"/>
      <c r="J2" s="102"/>
      <c r="K2" s="102"/>
      <c r="L2" s="102"/>
      <c r="M2" s="102"/>
      <c r="N2" s="102"/>
      <c r="O2" s="102"/>
      <c r="P2" s="102"/>
    </row>
    <row r="3" spans="1:22">
      <c r="G3" s="102"/>
      <c r="H3" s="800" t="s">
        <v>1701</v>
      </c>
      <c r="I3" s="102"/>
      <c r="J3" s="102"/>
      <c r="K3" s="102"/>
      <c r="L3" s="102"/>
      <c r="M3" s="102"/>
      <c r="N3" s="102"/>
      <c r="O3" s="102"/>
      <c r="P3" s="102"/>
    </row>
    <row r="4" spans="1:22">
      <c r="B4" s="259"/>
      <c r="G4" s="102"/>
      <c r="I4" s="103"/>
      <c r="J4" s="102"/>
      <c r="K4" s="102"/>
      <c r="L4" s="102"/>
      <c r="M4" s="102"/>
      <c r="N4" s="102"/>
      <c r="O4" s="102"/>
      <c r="P4" s="102"/>
      <c r="Q4" s="861" t="s">
        <v>1257</v>
      </c>
    </row>
    <row r="5" spans="1:22">
      <c r="B5" s="56"/>
      <c r="C5" s="259"/>
      <c r="G5" s="102"/>
      <c r="I5" s="103"/>
      <c r="J5" s="102"/>
      <c r="K5" s="102"/>
      <c r="L5" s="102"/>
      <c r="M5" s="102"/>
      <c r="N5" s="102"/>
      <c r="O5" s="102"/>
      <c r="P5" s="102"/>
      <c r="Q5" s="862">
        <v>43448</v>
      </c>
    </row>
    <row r="6" spans="1:22">
      <c r="B6" s="53"/>
      <c r="C6" s="259"/>
      <c r="G6" s="102"/>
      <c r="I6" s="103"/>
      <c r="J6" s="102"/>
      <c r="K6" s="102"/>
      <c r="L6" s="102"/>
      <c r="M6" s="102"/>
      <c r="N6" s="102"/>
      <c r="O6" s="102"/>
      <c r="P6" s="102"/>
    </row>
    <row r="7" spans="1:22">
      <c r="B7" s="453" t="s">
        <v>1043</v>
      </c>
      <c r="C7" s="259"/>
      <c r="G7" s="102"/>
      <c r="I7" s="103"/>
      <c r="J7" s="102"/>
      <c r="K7" s="102"/>
      <c r="L7" s="102"/>
      <c r="M7" s="102"/>
      <c r="N7" s="102"/>
      <c r="O7" s="102"/>
      <c r="P7" s="102"/>
      <c r="Q7" s="1209" t="s">
        <v>1254</v>
      </c>
      <c r="R7" s="1210"/>
    </row>
    <row r="8" spans="1:22">
      <c r="B8" s="453" t="s">
        <v>1032</v>
      </c>
      <c r="C8" s="259"/>
      <c r="G8" s="102"/>
      <c r="I8" s="103"/>
      <c r="J8" s="102"/>
      <c r="K8" s="102"/>
      <c r="L8" s="102"/>
      <c r="M8" s="102"/>
      <c r="N8" s="102"/>
      <c r="O8" s="102"/>
      <c r="P8" s="102"/>
    </row>
    <row r="9" spans="1:22" ht="15.75" customHeight="1">
      <c r="C9" s="259"/>
      <c r="D9" s="53" t="s">
        <v>1402</v>
      </c>
      <c r="F9" s="1211" t="s">
        <v>1013</v>
      </c>
      <c r="G9" s="1212"/>
      <c r="H9" s="1212"/>
      <c r="I9" s="1212"/>
      <c r="J9" s="1212"/>
      <c r="K9" s="1212"/>
      <c r="L9" s="1214" t="s">
        <v>1017</v>
      </c>
      <c r="M9" s="1215"/>
      <c r="N9" s="1215"/>
      <c r="O9" s="1215"/>
      <c r="P9" s="1216"/>
      <c r="Q9" s="1211" t="s">
        <v>1025</v>
      </c>
      <c r="R9" s="1213"/>
      <c r="T9" s="1211" t="s">
        <v>1026</v>
      </c>
      <c r="U9" s="1212"/>
      <c r="V9" s="1213"/>
    </row>
    <row r="10" spans="1:22" s="584" customFormat="1" ht="51.75" customHeight="1">
      <c r="A10" s="612" t="s">
        <v>1035</v>
      </c>
      <c r="B10" s="584" t="s">
        <v>1027</v>
      </c>
      <c r="C10" s="585" t="s">
        <v>107</v>
      </c>
      <c r="D10" s="585" t="s">
        <v>108</v>
      </c>
      <c r="E10" s="585"/>
      <c r="F10" s="586" t="s">
        <v>197</v>
      </c>
      <c r="G10" s="586" t="s">
        <v>89</v>
      </c>
      <c r="H10" s="586" t="s">
        <v>1028</v>
      </c>
      <c r="I10" s="586" t="s">
        <v>1014</v>
      </c>
      <c r="J10" s="586" t="s">
        <v>1015</v>
      </c>
      <c r="K10" s="586" t="s">
        <v>1016</v>
      </c>
      <c r="L10" s="587" t="s">
        <v>1020</v>
      </c>
      <c r="M10" s="588" t="s">
        <v>1018</v>
      </c>
      <c r="N10" s="588" t="s">
        <v>1019</v>
      </c>
      <c r="O10" s="589" t="s">
        <v>1278</v>
      </c>
      <c r="P10" s="589" t="s">
        <v>1022</v>
      </c>
      <c r="Q10" s="590" t="s">
        <v>1023</v>
      </c>
      <c r="R10" s="591" t="s">
        <v>1719</v>
      </c>
      <c r="T10" s="592" t="s">
        <v>226</v>
      </c>
      <c r="U10" s="593" t="s">
        <v>622</v>
      </c>
      <c r="V10" s="592" t="s">
        <v>623</v>
      </c>
    </row>
    <row r="11" spans="1:22" ht="12.75" customHeight="1">
      <c r="A11" s="453">
        <v>450</v>
      </c>
      <c r="C11" s="801">
        <v>89</v>
      </c>
      <c r="D11" s="407" t="str">
        <f t="shared" ref="D11:D22" si="0">$D$9</f>
        <v>FY 17</v>
      </c>
      <c r="E11" s="113" t="s">
        <v>114</v>
      </c>
      <c r="F11" s="594">
        <f>'TAMHSC Sum'!$C$6</f>
        <v>3113.57</v>
      </c>
      <c r="G11" s="114">
        <f>'TAMHSC Sum'!$J$39</f>
        <v>109861</v>
      </c>
      <c r="H11" s="269">
        <f>'TAMHSC Sum'!$J$20</f>
        <v>11897</v>
      </c>
      <c r="I11" s="114">
        <f>'TAMHSC Sum'!$J$15</f>
        <v>59736</v>
      </c>
      <c r="J11" s="114">
        <f>'TAMHSC Sum'!$J$23</f>
        <v>13544</v>
      </c>
      <c r="K11" s="114">
        <f>'TAMHSC Sum'!$J$38</f>
        <v>24684</v>
      </c>
      <c r="L11" s="595">
        <f>'TAMHSC Sum'!$K$56</f>
        <v>86086.32</v>
      </c>
      <c r="M11" s="118">
        <f>'TAMHSC Sum'!$L$56</f>
        <v>70069.990000000005</v>
      </c>
      <c r="N11" s="595">
        <f>'TAMHSC Sum'!$M$56</f>
        <v>2406.19</v>
      </c>
      <c r="O11" s="451">
        <f>'TAMHSC Sum'!$N$56</f>
        <v>12210.31</v>
      </c>
      <c r="P11" s="451">
        <f>'TAMHSC Sum'!$O$56</f>
        <v>1399.83</v>
      </c>
      <c r="Q11" s="597">
        <v>104086294</v>
      </c>
      <c r="R11" s="1189">
        <v>412168</v>
      </c>
      <c r="T11" s="102" t="str">
        <f>'TAMHSC FGD'!$P$103</f>
        <v>Monica Poehl</v>
      </c>
      <c r="U11" s="102" t="str">
        <f>'TAMHSC FGD'!$R$103</f>
        <v>979-458-6090</v>
      </c>
      <c r="V11" s="102" t="str">
        <f>'TAMHSC FGD'!$U$103</f>
        <v>mpoehl@tamus.edu</v>
      </c>
    </row>
    <row r="12" spans="1:22">
      <c r="A12" s="453">
        <v>470</v>
      </c>
      <c r="C12" s="801">
        <v>412</v>
      </c>
      <c r="D12" s="407" t="str">
        <f t="shared" si="0"/>
        <v>FY 17</v>
      </c>
      <c r="E12" s="113" t="s">
        <v>120</v>
      </c>
      <c r="F12" s="594">
        <f>'TTUHSC Sum'!$C$6</f>
        <v>5735.93</v>
      </c>
      <c r="G12" s="118">
        <f>'TTUHSC Sum'!$J$39</f>
        <v>81297</v>
      </c>
      <c r="H12" s="595">
        <f>'TTUHSC Sum'!$J$20</f>
        <v>9064</v>
      </c>
      <c r="I12" s="118">
        <f>'TTUHSC Sum'!$J$15</f>
        <v>35151</v>
      </c>
      <c r="J12" s="118">
        <f>'TTUHSC Sum'!$J$23</f>
        <v>3417</v>
      </c>
      <c r="K12" s="118">
        <f>'TTUHSC Sum'!$J$38</f>
        <v>33665</v>
      </c>
      <c r="L12" s="595">
        <f>'TTUHSC Sum'!$K$56</f>
        <v>75731.75</v>
      </c>
      <c r="M12" s="118">
        <f>'TTUHSC Sum'!$L$56</f>
        <v>61872</v>
      </c>
      <c r="N12" s="595">
        <f>'TTUHSC Sum'!$M$56</f>
        <v>3223.68</v>
      </c>
      <c r="O12" s="488">
        <f>'TTUHSC Sum'!$N$56</f>
        <v>9844.59</v>
      </c>
      <c r="P12" s="488">
        <f>'TTUHSC Sum'!$O$56</f>
        <v>791.48</v>
      </c>
      <c r="Q12" s="597">
        <v>37742447</v>
      </c>
      <c r="R12" s="1186">
        <v>101235</v>
      </c>
      <c r="T12" s="102" t="str">
        <f>'TTUHSC FGD'!$P$103</f>
        <v>Rebecca Aguilar</v>
      </c>
      <c r="U12" s="102" t="str">
        <f>'TTUHSC FGD'!$R$103</f>
        <v>(806) 743-7381</v>
      </c>
      <c r="V12" s="102" t="str">
        <f>'TTUHSC FGD'!$U$103</f>
        <v>rebecca.aguilar@ttuhsc.edu</v>
      </c>
    </row>
    <row r="13" spans="1:22">
      <c r="A13" s="453">
        <v>460</v>
      </c>
      <c r="C13" s="801">
        <v>130</v>
      </c>
      <c r="D13" s="407" t="str">
        <f t="shared" si="0"/>
        <v>FY 17</v>
      </c>
      <c r="E13" s="113" t="s">
        <v>116</v>
      </c>
      <c r="F13" s="594">
        <f>'UNTHSC Sum'!$C$6</f>
        <v>2836.2200000000003</v>
      </c>
      <c r="G13" s="118">
        <f>'UNTHSC Sum'!$J$39</f>
        <v>94536</v>
      </c>
      <c r="H13" s="595">
        <f>'UNTHSC Sum'!$J$20</f>
        <v>10511</v>
      </c>
      <c r="I13" s="118">
        <f>'UNTHSC Sum'!$J$15</f>
        <v>43367</v>
      </c>
      <c r="J13" s="118">
        <f>'UNTHSC Sum'!$J$23</f>
        <v>13046</v>
      </c>
      <c r="K13" s="118">
        <f>'UNTHSC Sum'!$J$38</f>
        <v>27612</v>
      </c>
      <c r="L13" s="595">
        <f>'UNTHSC Sum'!$K$56</f>
        <v>59499.58</v>
      </c>
      <c r="M13" s="118">
        <f>'UNTHSC Sum'!$L$56</f>
        <v>44360.45</v>
      </c>
      <c r="N13" s="595">
        <f>'UNTHSC Sum'!$M$56</f>
        <v>2137.85</v>
      </c>
      <c r="O13" s="488">
        <f>'UNTHSC Sum'!$N$56</f>
        <v>11046.97</v>
      </c>
      <c r="P13" s="488">
        <f>'UNTHSC Sum'!$O$56</f>
        <v>1954.31</v>
      </c>
      <c r="Q13" s="597">
        <v>45422755</v>
      </c>
      <c r="R13" s="1186">
        <v>508462</v>
      </c>
      <c r="T13" s="102" t="str">
        <f>'UNTHSC FGD'!$P$103</f>
        <v>Julie Meisinger</v>
      </c>
      <c r="U13" s="102" t="str">
        <f>'UNTHSC FGD'!$R$103</f>
        <v>817-735-2609</v>
      </c>
      <c r="V13" s="102" t="str">
        <f>'UNTHSC FGD'!$U$103</f>
        <v>julie.meisinger@untsystem.edu</v>
      </c>
    </row>
    <row r="14" spans="1:22">
      <c r="A14" s="453">
        <v>400</v>
      </c>
      <c r="C14" s="857">
        <v>104952</v>
      </c>
      <c r="D14" s="407" t="str">
        <f t="shared" si="0"/>
        <v>FY 17</v>
      </c>
      <c r="E14" s="206" t="s">
        <v>125</v>
      </c>
      <c r="F14" s="594">
        <f>'MBG Sum'!$C$6</f>
        <v>3693.9200000000005</v>
      </c>
      <c r="G14" s="118">
        <f>'MBG Sum'!$J$39</f>
        <v>220579</v>
      </c>
      <c r="H14" s="595">
        <f>'MBG Sum'!$J$20</f>
        <v>11055</v>
      </c>
      <c r="I14" s="118">
        <f>'MBG Sum'!$J$15</f>
        <v>102976</v>
      </c>
      <c r="J14" s="118">
        <f>'MBG Sum'!$J$23</f>
        <v>35124</v>
      </c>
      <c r="K14" s="118">
        <f>'MBG Sum'!$J$38</f>
        <v>71424</v>
      </c>
      <c r="L14" s="595">
        <f>'MBG Sum'!$K$56</f>
        <v>180483.28</v>
      </c>
      <c r="M14" s="118">
        <f>'MBG Sum'!$L$56</f>
        <v>130784.13</v>
      </c>
      <c r="N14" s="595">
        <f>'MBG Sum'!$M$56</f>
        <v>3988.12</v>
      </c>
      <c r="O14" s="488">
        <f>'MBG Sum'!$N$56</f>
        <v>39564.1</v>
      </c>
      <c r="P14" s="488">
        <f>'MBG Sum'!$O$56</f>
        <v>6146.92</v>
      </c>
      <c r="Q14" s="597">
        <v>149290729</v>
      </c>
      <c r="R14" s="1186">
        <v>551854</v>
      </c>
      <c r="T14" s="102" t="str">
        <f>'MBG FGD'!$P$103</f>
        <v>Craig Elmore</v>
      </c>
      <c r="U14" s="102" t="str">
        <f>'MBG FGD'!$R$103</f>
        <v>409-772-7525</v>
      </c>
      <c r="V14" s="102" t="str">
        <f>'MBG FGD'!$U$103</f>
        <v>crelmore@utmb.edu</v>
      </c>
    </row>
    <row r="15" spans="1:22">
      <c r="A15" s="453">
        <v>440</v>
      </c>
      <c r="C15" s="801">
        <v>42439</v>
      </c>
      <c r="D15" s="407" t="str">
        <f t="shared" si="0"/>
        <v>FY 17</v>
      </c>
      <c r="E15" s="113" t="s">
        <v>1300</v>
      </c>
      <c r="F15" s="594">
        <f>'THC Sum'!$C$6</f>
        <v>30.130000000000003</v>
      </c>
      <c r="G15" s="118" t="str">
        <f>'THC Sum'!$J$39</f>
        <v>N/A</v>
      </c>
      <c r="H15" s="595" t="str">
        <f>'THC Sum'!$J$20</f>
        <v>N/A</v>
      </c>
      <c r="I15" s="820" t="str">
        <f>'THC Sum'!$J$15</f>
        <v>N/A</v>
      </c>
      <c r="J15" s="118" t="str">
        <f>'THC Sum'!$J$23</f>
        <v>N/A</v>
      </c>
      <c r="K15" s="118" t="str">
        <f>'THC Sum'!$J$38</f>
        <v>N/A</v>
      </c>
      <c r="L15" s="606" t="str">
        <f>'THC Sum'!$K$56</f>
        <v>N/A</v>
      </c>
      <c r="M15" s="607" t="str">
        <f>'THC Sum'!$L$56</f>
        <v>N/A</v>
      </c>
      <c r="N15" s="606" t="str">
        <f>'THC Sum'!$M$56</f>
        <v>N/A</v>
      </c>
      <c r="O15" s="608" t="str">
        <f>'THC Sum'!$N$56</f>
        <v>N/A</v>
      </c>
      <c r="P15" s="608" t="str">
        <f>'THC Sum'!$O$56</f>
        <v>N/A</v>
      </c>
      <c r="Q15" s="597">
        <v>19242529</v>
      </c>
      <c r="R15" s="1187" t="s">
        <v>213</v>
      </c>
      <c r="T15" s="102" t="str">
        <f>'THC FGD'!$P$103</f>
        <v>Natalie Harms</v>
      </c>
      <c r="U15" s="102" t="str">
        <f>'THC FGD'!$R$103</f>
        <v>(903) 877-7855</v>
      </c>
      <c r="V15" s="102" t="str">
        <f>'THC FGD'!$U$103</f>
        <v>natalie.harms@uthct.edu</v>
      </c>
    </row>
    <row r="16" spans="1:22">
      <c r="A16" s="453">
        <v>410</v>
      </c>
      <c r="C16" s="801">
        <v>11618</v>
      </c>
      <c r="D16" s="407" t="str">
        <f t="shared" si="0"/>
        <v>FY 17</v>
      </c>
      <c r="E16" s="113" t="s">
        <v>122</v>
      </c>
      <c r="F16" s="594">
        <f>'HSH Sum'!$C$6</f>
        <v>4887.8900000000003</v>
      </c>
      <c r="G16" s="118">
        <f>'HSH Sum'!$J$39</f>
        <v>248536</v>
      </c>
      <c r="H16" s="595">
        <f>'HSH Sum'!$J$20</f>
        <v>11091</v>
      </c>
      <c r="I16" s="118">
        <f>'HSH Sum'!$J$15</f>
        <v>47794</v>
      </c>
      <c r="J16" s="118">
        <f>'HSH Sum'!$J$23</f>
        <v>31992</v>
      </c>
      <c r="K16" s="118">
        <f>'HSH Sum'!$J$38</f>
        <v>157659</v>
      </c>
      <c r="L16" s="595">
        <f>'HSH Sum'!$K$56</f>
        <v>230837.27</v>
      </c>
      <c r="M16" s="118">
        <f>'HSH Sum'!$L$56</f>
        <v>198751.27</v>
      </c>
      <c r="N16" s="595">
        <f>'HSH Sum'!$M$56</f>
        <v>3849.99</v>
      </c>
      <c r="O16" s="488">
        <f>'HSH Sum'!$N$56</f>
        <v>24771.56</v>
      </c>
      <c r="P16" s="488">
        <f>'HSH Sum'!$O$56</f>
        <v>3464.46</v>
      </c>
      <c r="Q16" s="597">
        <v>240030744</v>
      </c>
      <c r="R16" s="1186">
        <v>574904</v>
      </c>
      <c r="T16" s="102" t="str">
        <f>'HSH FGD'!$P$103</f>
        <v>Scott Barnett</v>
      </c>
      <c r="U16" s="102" t="str">
        <f>'HSH FGD'!$R$103</f>
        <v>713/500-4915</v>
      </c>
      <c r="V16" s="102" t="str">
        <f>'HSH FGD'!$U$103</f>
        <v>Scott.Barnett@uth.tmc.edu</v>
      </c>
    </row>
    <row r="17" spans="1:22">
      <c r="A17" s="453">
        <v>430</v>
      </c>
      <c r="C17" s="801">
        <v>25554</v>
      </c>
      <c r="D17" s="407" t="str">
        <f t="shared" si="0"/>
        <v>FY 17</v>
      </c>
      <c r="E17" s="113" t="s">
        <v>124</v>
      </c>
      <c r="F17" s="594">
        <f>'MDA Sum'!$C$6</f>
        <v>378.18</v>
      </c>
      <c r="G17" s="118" t="str">
        <f>'MDA Sum'!$J$39</f>
        <v>N/A</v>
      </c>
      <c r="H17" s="595" t="str">
        <f>'MDA Sum'!$J$20</f>
        <v>N/A</v>
      </c>
      <c r="I17" s="118" t="str">
        <f>'MDA Sum'!$J$15</f>
        <v>N/A</v>
      </c>
      <c r="J17" s="118" t="str">
        <f>'MDA Sum'!$J$23</f>
        <v>N/A</v>
      </c>
      <c r="K17" s="118" t="str">
        <f>'MDA Sum'!$J$38</f>
        <v>N/A</v>
      </c>
      <c r="L17" s="606" t="str">
        <f>'MDA Sum'!$K$56</f>
        <v>N/A</v>
      </c>
      <c r="M17" s="607" t="str">
        <f>'MDA Sum'!$L$56</f>
        <v>N/A</v>
      </c>
      <c r="N17" s="606" t="str">
        <f>'MDA Sum'!$M$56</f>
        <v>N/A</v>
      </c>
      <c r="O17" s="608" t="str">
        <f>'MDA Sum'!$N$56</f>
        <v>N/A</v>
      </c>
      <c r="P17" s="608" t="str">
        <f>'MDA Sum'!$O$56</f>
        <v>N/A</v>
      </c>
      <c r="Q17" s="597">
        <v>857950511</v>
      </c>
      <c r="R17" s="1186">
        <v>843865</v>
      </c>
      <c r="T17" s="102" t="str">
        <f>'MDA FGD'!$P$103</f>
        <v>MARIA AGNES  D. CRUZ</v>
      </c>
      <c r="U17" s="102" t="str">
        <f>'MDA FGD'!$R$103</f>
        <v>713-745-9518</v>
      </c>
      <c r="V17" s="102" t="str">
        <f>'MDA FGD'!$U$103</f>
        <v>mcruz@mdanderson.org</v>
      </c>
    </row>
    <row r="18" spans="1:22">
      <c r="A18" s="453">
        <v>420</v>
      </c>
      <c r="C18" s="801">
        <v>40</v>
      </c>
      <c r="D18" s="407" t="str">
        <f t="shared" si="0"/>
        <v>FY 17</v>
      </c>
      <c r="E18" s="113" t="s">
        <v>112</v>
      </c>
      <c r="F18" s="594">
        <f>'HSSA Sum'!$C$6</f>
        <v>3827.8999999999996</v>
      </c>
      <c r="G18" s="118">
        <f>'HSSA Sum'!$J$39</f>
        <v>168809</v>
      </c>
      <c r="H18" s="595">
        <f>'HSSA Sum'!$J$20</f>
        <v>11268</v>
      </c>
      <c r="I18" s="118">
        <f>'HSSA Sum'!$J$15</f>
        <v>48114</v>
      </c>
      <c r="J18" s="118">
        <f>'HSSA Sum'!$J$23</f>
        <v>27091</v>
      </c>
      <c r="K18" s="118">
        <f>'HSSA Sum'!$J$38</f>
        <v>82336</v>
      </c>
      <c r="L18" s="595">
        <f>'HSSA Sum'!$K$56</f>
        <v>176790.72</v>
      </c>
      <c r="M18" s="118">
        <f>'HSSA Sum'!$L$56</f>
        <v>143888.5</v>
      </c>
      <c r="N18" s="595">
        <f>'HSSA Sum'!$M$56</f>
        <v>1829.16</v>
      </c>
      <c r="O18" s="488">
        <f>'HSSA Sum'!$N$56</f>
        <v>22318.560000000001</v>
      </c>
      <c r="P18" s="488">
        <f>'HSSA Sum'!$O$56</f>
        <v>8754.5</v>
      </c>
      <c r="Q18" s="597">
        <v>173522815</v>
      </c>
      <c r="R18" s="1186">
        <v>487599</v>
      </c>
      <c r="T18" s="102" t="str">
        <f>'HSSA FGD'!$P$103</f>
        <v>Yinwen Li</v>
      </c>
      <c r="U18" s="102" t="str">
        <f>'HSSA FGD'!$R$103</f>
        <v>(210) 562-6268</v>
      </c>
      <c r="V18" s="102" t="str">
        <f>'HSSA FGD'!$U$103</f>
        <v>LIY2@uthscsa.edu</v>
      </c>
    </row>
    <row r="19" spans="1:22" s="57" customFormat="1">
      <c r="A19" s="376">
        <v>390</v>
      </c>
      <c r="B19" s="376"/>
      <c r="C19" s="857">
        <v>30</v>
      </c>
      <c r="D19" s="950" t="str">
        <f t="shared" si="0"/>
        <v>FY 17</v>
      </c>
      <c r="E19" s="206" t="s">
        <v>110</v>
      </c>
      <c r="F19" s="955">
        <f>'SWM Sum'!$C$6</f>
        <v>2166.6799999999998</v>
      </c>
      <c r="G19" s="720">
        <f>'SWM Sum'!$J$39</f>
        <v>518632</v>
      </c>
      <c r="H19" s="956">
        <f>'SWM Sum'!$J$20</f>
        <v>11780</v>
      </c>
      <c r="I19" s="720">
        <f>'SWM Sum'!$J$15</f>
        <v>107611</v>
      </c>
      <c r="J19" s="720">
        <f>'SWM Sum'!$J$23</f>
        <v>92772</v>
      </c>
      <c r="K19" s="720">
        <f>'SWM Sum'!$J$38</f>
        <v>306469</v>
      </c>
      <c r="L19" s="956">
        <f>'SWM Sum'!$K$56</f>
        <v>703458.63</v>
      </c>
      <c r="M19" s="720">
        <f>'SWM Sum'!$L$56</f>
        <v>617901.77</v>
      </c>
      <c r="N19" s="956">
        <f>'SWM Sum'!$M$56</f>
        <v>3906.69</v>
      </c>
      <c r="O19" s="952">
        <f>'SWM Sum'!$N$56</f>
        <v>71408.83</v>
      </c>
      <c r="P19" s="952">
        <f>'SWM Sum'!$O$56</f>
        <v>10241.33</v>
      </c>
      <c r="Q19" s="597">
        <v>469504659</v>
      </c>
      <c r="R19" s="1186">
        <v>1082640</v>
      </c>
      <c r="T19" s="220" t="str">
        <f>'SWM FGD'!$P$103</f>
        <v>John Schmidt</v>
      </c>
      <c r="U19" s="220" t="str">
        <f>'SWM FGD'!$R$103</f>
        <v>214-648-0888</v>
      </c>
      <c r="V19" s="220" t="str">
        <f>'SWM FGD'!$U$103</f>
        <v>John.Schmidt@UTSouthwestern.edu</v>
      </c>
    </row>
    <row r="20" spans="1:22">
      <c r="A20" s="453">
        <v>480</v>
      </c>
      <c r="C20" s="801">
        <v>862</v>
      </c>
      <c r="D20" s="950" t="str">
        <f t="shared" si="0"/>
        <v>FY 17</v>
      </c>
      <c r="E20" s="206" t="s">
        <v>1324</v>
      </c>
      <c r="F20" s="594">
        <f>'TTUHSCEP Sum'!$C$6</f>
        <v>737.31000000000006</v>
      </c>
      <c r="G20" s="118">
        <f>'TTUHSCEP Sum'!$J$39</f>
        <v>277660</v>
      </c>
      <c r="H20" s="595">
        <f>'TTUHSCEP Sum'!$J$20</f>
        <v>12195</v>
      </c>
      <c r="I20" s="118">
        <f>'TTUHSCEP Sum'!$J$15</f>
        <v>119364</v>
      </c>
      <c r="J20" s="118">
        <f>'TTUHSCEP Sum'!$J$23</f>
        <v>5133</v>
      </c>
      <c r="K20" s="118">
        <f>'TTUHSCEP Sum'!$J$38</f>
        <v>140968</v>
      </c>
      <c r="L20" s="595">
        <f>'TTUHSCEP Sum'!$K$56</f>
        <v>267091.52</v>
      </c>
      <c r="M20" s="118">
        <f>'TTUHSCEP Sum'!$L$56</f>
        <v>229402.12</v>
      </c>
      <c r="N20" s="595">
        <f>'TTUHSCEP Sum'!$M$56</f>
        <v>5204.7700000000004</v>
      </c>
      <c r="O20" s="488">
        <f>'TTUHSCEP Sum'!$N$56</f>
        <v>30429.77</v>
      </c>
      <c r="P20" s="488">
        <f>'TTUHSCEP Sum'!$O$56</f>
        <v>2054.86</v>
      </c>
      <c r="Q20" s="597">
        <v>12530054</v>
      </c>
      <c r="R20" s="1186">
        <v>149777</v>
      </c>
      <c r="T20" s="102" t="str">
        <f>'TTUHSCEP FGD'!$P$103</f>
        <v>Sandra Tapia</v>
      </c>
      <c r="U20" s="102" t="str">
        <f>'TTUHSCEP FGD'!$R$103</f>
        <v>915-215-4790</v>
      </c>
      <c r="V20" s="102" t="str">
        <f>'TTUHSCEP FGD'!$U$103</f>
        <v>Sandra.tapia@ttuhsc.edu</v>
      </c>
    </row>
    <row r="21" spans="1:22">
      <c r="A21" s="453">
        <v>500</v>
      </c>
      <c r="C21" s="801">
        <v>203599</v>
      </c>
      <c r="D21" s="950" t="str">
        <f t="shared" si="0"/>
        <v>FY 17</v>
      </c>
      <c r="E21" s="113" t="s">
        <v>1319</v>
      </c>
      <c r="F21" s="594">
        <f>'RGVM Sum'!$C$6</f>
        <v>101</v>
      </c>
      <c r="G21" s="118">
        <f>'RGVM Sum'!$J$39</f>
        <v>802223</v>
      </c>
      <c r="H21" s="595">
        <f>'RGVM Sum'!$J$20</f>
        <v>21257</v>
      </c>
      <c r="I21" s="118">
        <f>'RGVM Sum'!$J$15</f>
        <v>290383</v>
      </c>
      <c r="J21" s="118">
        <f>'RGVM Sum'!$J$23</f>
        <v>42552</v>
      </c>
      <c r="K21" s="118">
        <f>'RGVM Sum'!$J$38</f>
        <v>448031</v>
      </c>
      <c r="L21" s="595">
        <f>'RGVM Sum'!$K$56</f>
        <v>0</v>
      </c>
      <c r="M21" s="118">
        <f>'RGVM Sum'!$L$56</f>
        <v>0</v>
      </c>
      <c r="N21" s="595">
        <f>'RGVM Sum'!$M$56</f>
        <v>0</v>
      </c>
      <c r="O21" s="488">
        <f>'RGVM Sum'!$N$56</f>
        <v>0</v>
      </c>
      <c r="P21" s="488">
        <f>'RGVM Sum'!$O$56</f>
        <v>0</v>
      </c>
      <c r="Q21" s="597">
        <v>10847246</v>
      </c>
      <c r="R21" s="1186">
        <v>261814</v>
      </c>
      <c r="T21" s="596" t="str">
        <f>'RGVM FGD'!$P$103</f>
        <v>Lilia M. St. Clair</v>
      </c>
      <c r="U21" s="102" t="str">
        <f>'RGVM FGD'!$R$103</f>
        <v>956-665-7906</v>
      </c>
      <c r="V21" s="102" t="str">
        <f>'RGVM FGD'!$U$103</f>
        <v>lilia.stclair@utrgv.edu</v>
      </c>
    </row>
    <row r="22" spans="1:22">
      <c r="A22" s="453">
        <v>510</v>
      </c>
      <c r="C22" s="801">
        <v>203658</v>
      </c>
      <c r="D22" s="950" t="str">
        <f t="shared" si="0"/>
        <v>FY 17</v>
      </c>
      <c r="E22" s="113" t="s">
        <v>1318</v>
      </c>
      <c r="F22" s="594">
        <f>'AUSM Sum'!$C$6</f>
        <v>100</v>
      </c>
      <c r="G22" s="118">
        <f>'AUSM Sum'!$J$39</f>
        <v>1151044</v>
      </c>
      <c r="H22" s="595">
        <f>'AUSM Sum'!$J$20</f>
        <v>25377</v>
      </c>
      <c r="I22" s="118">
        <f>'AUSM Sum'!$J$15</f>
        <v>337359</v>
      </c>
      <c r="J22" s="118">
        <f>'AUSM Sum'!$J$23</f>
        <v>94899</v>
      </c>
      <c r="K22" s="118">
        <f>'AUSM Sum'!$J$38</f>
        <v>693409</v>
      </c>
      <c r="L22" s="595">
        <f>'AUSM Sum'!$K$56</f>
        <v>0</v>
      </c>
      <c r="M22" s="118">
        <f>'AUSM Sum'!$L$56</f>
        <v>0</v>
      </c>
      <c r="N22" s="595">
        <f>'AUSM Sum'!$M$56</f>
        <v>0</v>
      </c>
      <c r="O22" s="488">
        <f>'AUSM Sum'!$N$56</f>
        <v>0</v>
      </c>
      <c r="P22" s="488">
        <f>'AUSM Sum'!$O$56</f>
        <v>0</v>
      </c>
      <c r="Q22" s="597">
        <v>27238585</v>
      </c>
      <c r="R22" s="1186">
        <v>501989</v>
      </c>
      <c r="T22" s="596" t="str">
        <f>'AUSM FGD'!$P$103</f>
        <v>Marcy Lowther</v>
      </c>
      <c r="U22" s="102" t="str">
        <f>'AUSM FGD'!$R$103</f>
        <v>512-471-2808</v>
      </c>
      <c r="V22" s="102" t="str">
        <f>'AUSM FGD'!$U$103</f>
        <v>mlowther@austin.utexas.edu</v>
      </c>
    </row>
    <row r="23" spans="1:22">
      <c r="A23" s="453"/>
      <c r="C23" s="801"/>
      <c r="D23" s="407"/>
      <c r="E23" s="113"/>
      <c r="F23" s="594"/>
      <c r="G23" s="118"/>
      <c r="H23" s="595"/>
      <c r="I23" s="118"/>
      <c r="J23" s="118"/>
      <c r="K23" s="118"/>
      <c r="L23" s="595"/>
      <c r="M23" s="118"/>
      <c r="N23" s="595"/>
      <c r="O23" s="488"/>
      <c r="P23" s="488"/>
      <c r="Q23" s="597"/>
      <c r="R23" s="965"/>
      <c r="T23" s="102"/>
      <c r="U23" s="102"/>
      <c r="V23" s="102"/>
    </row>
    <row r="24" spans="1:22" ht="13.5" thickBot="1">
      <c r="A24" s="598"/>
      <c r="B24" s="599"/>
      <c r="C24" s="598"/>
      <c r="D24" s="599">
        <f>COUNTA(D11:D23)</f>
        <v>12</v>
      </c>
      <c r="E24" s="600" t="s">
        <v>126</v>
      </c>
      <c r="F24" s="601">
        <f>SUM(F11:F23)</f>
        <v>27608.73</v>
      </c>
      <c r="G24" s="49">
        <f>'Smmy Sum'!$J$51</f>
        <v>232929</v>
      </c>
      <c r="H24" s="49">
        <f>'Smmy Sum'!$J$32</f>
        <v>10776</v>
      </c>
      <c r="I24" s="49">
        <f>'Smmy Sum'!$J$27</f>
        <v>73021</v>
      </c>
      <c r="J24" s="49">
        <f>'Smmy Sum'!$J$35</f>
        <v>32334</v>
      </c>
      <c r="K24" s="49">
        <f>'Smmy Sum'!$J$50</f>
        <v>116798</v>
      </c>
      <c r="L24" s="272">
        <f>'Smmy Sum'!$K$68</f>
        <v>241844</v>
      </c>
      <c r="M24" s="49">
        <f>'Smmy Sum'!$L$68</f>
        <v>192650.78</v>
      </c>
      <c r="N24" s="272">
        <f>'Smmy Sum'!$N$68</f>
        <v>38601.21</v>
      </c>
      <c r="O24" s="272">
        <f>'Smmy Sum'!$N$68</f>
        <v>38601.21</v>
      </c>
      <c r="P24" s="272">
        <f>'Smmy Sum'!$O$68</f>
        <v>7247.04</v>
      </c>
      <c r="Q24" s="272">
        <f>SUM(Q11:Q23)</f>
        <v>2147409368</v>
      </c>
      <c r="R24" s="1188">
        <v>666643</v>
      </c>
    </row>
    <row r="25" spans="1:22" s="102" customFormat="1" ht="13.5" thickTop="1">
      <c r="B25" s="101"/>
      <c r="F25" s="602"/>
    </row>
    <row r="26" spans="1:22" s="102" customFormat="1">
      <c r="B26" s="101"/>
      <c r="E26" s="102" t="s">
        <v>1077</v>
      </c>
    </row>
    <row r="27" spans="1:22" s="102" customFormat="1">
      <c r="B27" s="101"/>
      <c r="E27" s="102" t="s">
        <v>1078</v>
      </c>
      <c r="F27" s="132"/>
      <c r="I27" s="104"/>
    </row>
    <row r="28" spans="1:22" s="102" customFormat="1">
      <c r="B28" s="101"/>
    </row>
    <row r="29" spans="1:22" s="102" customFormat="1">
      <c r="B29" s="101"/>
    </row>
    <row r="30" spans="1:22" s="102" customFormat="1">
      <c r="A30" s="101"/>
      <c r="B30" s="101"/>
      <c r="D30" s="132"/>
      <c r="E30" s="132"/>
      <c r="F30" s="132"/>
      <c r="G30" s="102" t="s">
        <v>1085</v>
      </c>
      <c r="H30" s="102" t="s">
        <v>1085</v>
      </c>
      <c r="K30" s="102" t="s">
        <v>1085</v>
      </c>
      <c r="M30" s="102" t="s">
        <v>1085</v>
      </c>
      <c r="N30" s="102" t="s">
        <v>1085</v>
      </c>
      <c r="O30" s="102" t="s">
        <v>1085</v>
      </c>
      <c r="P30" s="102" t="s">
        <v>1085</v>
      </c>
      <c r="Q30" s="661"/>
    </row>
    <row r="31" spans="1:22" s="102" customFormat="1">
      <c r="A31" s="101"/>
      <c r="B31" s="101"/>
      <c r="D31" s="132"/>
      <c r="E31" s="132"/>
      <c r="F31" s="132"/>
      <c r="G31" s="102" t="s">
        <v>1086</v>
      </c>
      <c r="H31" s="102" t="s">
        <v>1086</v>
      </c>
      <c r="K31" s="102" t="s">
        <v>1086</v>
      </c>
      <c r="M31" s="102" t="s">
        <v>1086</v>
      </c>
      <c r="N31" s="102" t="s">
        <v>1086</v>
      </c>
      <c r="O31" s="102" t="s">
        <v>1086</v>
      </c>
      <c r="P31" s="102" t="s">
        <v>1086</v>
      </c>
      <c r="Q31" s="661"/>
    </row>
    <row r="32" spans="1:22" s="102" customFormat="1">
      <c r="A32" s="101"/>
      <c r="B32" s="101"/>
      <c r="D32" s="132"/>
      <c r="E32" s="132"/>
      <c r="F32" s="132"/>
      <c r="M32" s="102" t="s">
        <v>1087</v>
      </c>
      <c r="N32" s="102" t="s">
        <v>1087</v>
      </c>
      <c r="O32" s="102" t="s">
        <v>1087</v>
      </c>
      <c r="P32" s="102" t="s">
        <v>1087</v>
      </c>
      <c r="Q32" s="661"/>
    </row>
    <row r="33" spans="1:18" s="102" customFormat="1">
      <c r="A33" s="101"/>
      <c r="B33" s="101"/>
      <c r="D33" s="132"/>
      <c r="E33" s="132"/>
      <c r="F33" s="132"/>
      <c r="Q33" s="661"/>
    </row>
    <row r="34" spans="1:18" s="102" customFormat="1">
      <c r="A34" s="101"/>
      <c r="B34" s="101"/>
      <c r="E34" s="102" t="s">
        <v>1088</v>
      </c>
      <c r="F34" s="662" t="s">
        <v>1089</v>
      </c>
      <c r="G34" s="663" t="s">
        <v>1092</v>
      </c>
      <c r="H34" s="663" t="s">
        <v>499</v>
      </c>
      <c r="I34" s="663" t="s">
        <v>1090</v>
      </c>
      <c r="J34" s="663" t="s">
        <v>502</v>
      </c>
      <c r="K34" s="664" t="s">
        <v>807</v>
      </c>
      <c r="L34" s="662" t="s">
        <v>532</v>
      </c>
      <c r="M34" s="663" t="s">
        <v>560</v>
      </c>
      <c r="N34" s="663" t="s">
        <v>588</v>
      </c>
      <c r="O34" s="663" t="s">
        <v>1104</v>
      </c>
      <c r="P34" s="664" t="s">
        <v>1105</v>
      </c>
    </row>
    <row r="35" spans="1:18" s="102" customFormat="1">
      <c r="A35" s="101"/>
      <c r="B35" s="101"/>
      <c r="E35" s="102" t="s">
        <v>1091</v>
      </c>
      <c r="F35" s="665" t="s">
        <v>1080</v>
      </c>
      <c r="G35" s="666" t="s">
        <v>780</v>
      </c>
      <c r="H35" s="666" t="s">
        <v>489</v>
      </c>
      <c r="I35" s="666" t="s">
        <v>1103</v>
      </c>
      <c r="J35" s="666" t="s">
        <v>490</v>
      </c>
      <c r="K35" s="667" t="s">
        <v>771</v>
      </c>
      <c r="L35" s="665" t="s">
        <v>527</v>
      </c>
      <c r="M35" s="666" t="s">
        <v>555</v>
      </c>
      <c r="N35" s="666" t="s">
        <v>583</v>
      </c>
      <c r="O35" s="666" t="s">
        <v>1106</v>
      </c>
      <c r="P35" s="667" t="s">
        <v>1107</v>
      </c>
      <c r="Q35" s="101"/>
    </row>
    <row r="36" spans="1:18" s="102" customFormat="1">
      <c r="B36" s="101"/>
    </row>
    <row r="37" spans="1:18" s="102" customFormat="1">
      <c r="B37" s="101"/>
      <c r="D37" s="102" t="s">
        <v>1325</v>
      </c>
      <c r="F37" s="603">
        <f>'Smmy Sum'!C18</f>
        <v>27608.730000000007</v>
      </c>
      <c r="G37" s="101"/>
      <c r="H37" s="101"/>
      <c r="I37" s="101"/>
      <c r="J37" s="101"/>
      <c r="K37" s="101"/>
      <c r="L37" s="101"/>
      <c r="M37" s="101"/>
      <c r="N37" s="101"/>
      <c r="O37" s="101"/>
      <c r="P37" s="101"/>
      <c r="Q37" s="101"/>
    </row>
    <row r="38" spans="1:18" s="102" customFormat="1">
      <c r="B38" s="101"/>
      <c r="F38" s="603">
        <f>F24-F37</f>
        <v>0</v>
      </c>
    </row>
    <row r="39" spans="1:18" s="102" customFormat="1">
      <c r="B39" s="101"/>
    </row>
    <row r="40" spans="1:18" s="102" customFormat="1" ht="13.5" thickBot="1">
      <c r="B40" s="101"/>
      <c r="E40" s="679" t="s">
        <v>1424</v>
      </c>
      <c r="F40" s="601">
        <v>27608.73</v>
      </c>
      <c r="G40" s="49">
        <v>232929</v>
      </c>
      <c r="H40" s="49">
        <v>10776</v>
      </c>
      <c r="I40" s="49">
        <v>73021</v>
      </c>
      <c r="J40" s="49">
        <v>32334</v>
      </c>
      <c r="K40" s="49">
        <v>116798</v>
      </c>
      <c r="L40" s="272">
        <v>241844</v>
      </c>
      <c r="M40" s="49">
        <v>192650.78</v>
      </c>
      <c r="N40" s="272">
        <v>38601.21</v>
      </c>
      <c r="O40" s="272">
        <v>38601.21</v>
      </c>
      <c r="P40" s="272">
        <v>7247.04</v>
      </c>
      <c r="Q40" s="272">
        <v>2147409368</v>
      </c>
      <c r="R40" s="272">
        <v>666643</v>
      </c>
    </row>
    <row r="41" spans="1:18" s="102" customFormat="1" ht="13.5" thickTop="1">
      <c r="B41" s="101"/>
      <c r="C41" s="111"/>
      <c r="E41" s="1116">
        <v>43451</v>
      </c>
    </row>
    <row r="42" spans="1:18" s="102" customFormat="1" ht="12.75" customHeight="1">
      <c r="B42" s="101"/>
      <c r="C42" s="111"/>
      <c r="D42" s="53"/>
      <c r="E42" s="113"/>
    </row>
    <row r="43" spans="1:18" s="102" customFormat="1" ht="12.75" customHeight="1">
      <c r="B43" s="101"/>
      <c r="C43" s="111"/>
      <c r="D43" s="53"/>
      <c r="E43" s="113"/>
      <c r="F43" s="640">
        <f>F40-F24</f>
        <v>0</v>
      </c>
      <c r="G43" s="640">
        <f>G40-G24</f>
        <v>0</v>
      </c>
      <c r="H43" s="640">
        <f>H40-H24</f>
        <v>0</v>
      </c>
      <c r="I43" s="640">
        <f t="shared" ref="I43:O43" si="1">I40-I24</f>
        <v>0</v>
      </c>
      <c r="J43" s="640">
        <f t="shared" si="1"/>
        <v>0</v>
      </c>
      <c r="K43" s="640">
        <f t="shared" si="1"/>
        <v>0</v>
      </c>
      <c r="L43" s="640">
        <f t="shared" si="1"/>
        <v>0</v>
      </c>
      <c r="M43" s="640">
        <f t="shared" si="1"/>
        <v>0</v>
      </c>
      <c r="N43" s="640">
        <f t="shared" si="1"/>
        <v>0</v>
      </c>
      <c r="O43" s="640">
        <f t="shared" si="1"/>
        <v>0</v>
      </c>
      <c r="P43" s="640">
        <f>P40-P24</f>
        <v>0</v>
      </c>
      <c r="Q43" s="640">
        <f>Q40-Q24</f>
        <v>0</v>
      </c>
      <c r="R43" s="640">
        <f>R40-R24</f>
        <v>0</v>
      </c>
    </row>
    <row r="44" spans="1:18" s="102" customFormat="1">
      <c r="B44" s="101"/>
      <c r="C44" s="605"/>
      <c r="D44" s="53"/>
      <c r="E44" s="206"/>
      <c r="F44" s="596"/>
      <c r="G44" s="596"/>
      <c r="H44" s="596"/>
    </row>
    <row r="45" spans="1:18" s="102" customFormat="1">
      <c r="B45" s="101"/>
      <c r="C45" s="111"/>
      <c r="D45" s="53"/>
      <c r="E45" s="113"/>
      <c r="F45" s="596"/>
      <c r="G45" s="596"/>
      <c r="H45" s="596"/>
    </row>
    <row r="46" spans="1:18" s="102" customFormat="1">
      <c r="B46" s="101"/>
      <c r="C46" s="111"/>
      <c r="D46" s="53"/>
      <c r="E46" s="113"/>
      <c r="F46" s="596"/>
      <c r="G46" s="596"/>
      <c r="H46" s="596"/>
    </row>
    <row r="47" spans="1:18" s="102" customFormat="1">
      <c r="B47" s="101"/>
      <c r="C47" s="111"/>
      <c r="D47" s="53"/>
      <c r="E47" s="113"/>
      <c r="F47" s="596"/>
      <c r="G47" s="596"/>
      <c r="H47" s="596"/>
    </row>
    <row r="48" spans="1:18" s="102" customFormat="1">
      <c r="B48" s="101"/>
      <c r="C48" s="111"/>
      <c r="D48" s="104"/>
      <c r="E48" s="113"/>
      <c r="F48" s="596"/>
      <c r="G48" s="596"/>
      <c r="H48" s="596"/>
    </row>
    <row r="49" spans="2:8" s="102" customFormat="1">
      <c r="B49" s="101"/>
      <c r="C49" s="111"/>
      <c r="D49" s="53"/>
      <c r="E49" s="113"/>
      <c r="F49" s="596"/>
      <c r="G49" s="596"/>
      <c r="H49" s="596"/>
    </row>
    <row r="50" spans="2:8" s="102" customFormat="1">
      <c r="B50" s="101"/>
      <c r="C50" s="111"/>
      <c r="D50" s="53"/>
      <c r="E50" s="113"/>
    </row>
    <row r="51" spans="2:8" s="102" customFormat="1">
      <c r="B51" s="101"/>
    </row>
    <row r="52" spans="2:8" s="102" customFormat="1">
      <c r="B52" s="101"/>
    </row>
    <row r="53" spans="2:8" s="102" customFormat="1">
      <c r="B53" s="101"/>
    </row>
    <row r="54" spans="2:8" s="102" customFormat="1">
      <c r="B54" s="101"/>
    </row>
    <row r="55" spans="2:8" s="102" customFormat="1">
      <c r="B55" s="101"/>
    </row>
    <row r="56" spans="2:8" s="102" customFormat="1">
      <c r="B56" s="101"/>
    </row>
    <row r="57" spans="2:8" s="102" customFormat="1">
      <c r="B57" s="101"/>
    </row>
    <row r="58" spans="2:8" s="102" customFormat="1">
      <c r="B58" s="101"/>
    </row>
    <row r="59" spans="2:8" s="102" customFormat="1">
      <c r="B59" s="101"/>
    </row>
    <row r="60" spans="2:8" s="102" customFormat="1">
      <c r="B60" s="101"/>
    </row>
    <row r="61" spans="2:8" s="102" customFormat="1">
      <c r="B61" s="101"/>
    </row>
    <row r="62" spans="2:8" s="102" customFormat="1">
      <c r="B62" s="101"/>
    </row>
    <row r="63" spans="2:8" s="102" customFormat="1">
      <c r="B63" s="101"/>
    </row>
    <row r="64" spans="2:8" s="102" customFormat="1">
      <c r="B64" s="101"/>
    </row>
    <row r="65" spans="2:2" s="102" customFormat="1">
      <c r="B65" s="101"/>
    </row>
    <row r="66" spans="2:2" s="102" customFormat="1">
      <c r="B66" s="101"/>
    </row>
    <row r="67" spans="2:2" s="102" customFormat="1">
      <c r="B67" s="101"/>
    </row>
    <row r="68" spans="2:2" s="102" customFormat="1">
      <c r="B68" s="101"/>
    </row>
    <row r="69" spans="2:2" s="102" customFormat="1">
      <c r="B69" s="101"/>
    </row>
    <row r="70" spans="2:2" s="102" customFormat="1">
      <c r="B70" s="101"/>
    </row>
    <row r="71" spans="2:2" s="102" customFormat="1">
      <c r="B71" s="101"/>
    </row>
    <row r="72" spans="2:2" s="102" customFormat="1">
      <c r="B72" s="101"/>
    </row>
    <row r="73" spans="2:2" s="102" customFormat="1">
      <c r="B73" s="101"/>
    </row>
    <row r="74" spans="2:2" s="102" customFormat="1">
      <c r="B74" s="101"/>
    </row>
    <row r="75" spans="2:2" s="102" customFormat="1">
      <c r="B75" s="101"/>
    </row>
    <row r="76" spans="2:2" s="102" customFormat="1">
      <c r="B76" s="101"/>
    </row>
    <row r="77" spans="2:2" s="102" customFormat="1">
      <c r="B77" s="101"/>
    </row>
    <row r="78" spans="2:2" s="102" customFormat="1">
      <c r="B78" s="101"/>
    </row>
    <row r="79" spans="2:2" s="102" customFormat="1">
      <c r="B79" s="101"/>
    </row>
    <row r="80" spans="2:2" s="102" customFormat="1">
      <c r="B80" s="101"/>
    </row>
    <row r="81" spans="2:2" s="102" customFormat="1">
      <c r="B81" s="101"/>
    </row>
    <row r="82" spans="2:2" s="102" customFormat="1">
      <c r="B82" s="101"/>
    </row>
    <row r="83" spans="2:2" s="102" customFormat="1">
      <c r="B83" s="101"/>
    </row>
    <row r="84" spans="2:2" s="102" customFormat="1">
      <c r="B84" s="101"/>
    </row>
    <row r="85" spans="2:2" s="102" customFormat="1">
      <c r="B85" s="101"/>
    </row>
    <row r="86" spans="2:2" s="102" customFormat="1">
      <c r="B86" s="101"/>
    </row>
    <row r="87" spans="2:2" s="102" customFormat="1">
      <c r="B87" s="101"/>
    </row>
    <row r="88" spans="2:2" s="102" customFormat="1">
      <c r="B88" s="101"/>
    </row>
    <row r="89" spans="2:2" s="102" customFormat="1">
      <c r="B89" s="101"/>
    </row>
    <row r="90" spans="2:2" s="102" customFormat="1">
      <c r="B90" s="101"/>
    </row>
    <row r="91" spans="2:2" s="102" customFormat="1">
      <c r="B91" s="101"/>
    </row>
    <row r="92" spans="2:2" s="102" customFormat="1">
      <c r="B92" s="101"/>
    </row>
    <row r="93" spans="2:2" s="102" customFormat="1">
      <c r="B93" s="101"/>
    </row>
    <row r="94" spans="2:2" s="102" customFormat="1">
      <c r="B94" s="101"/>
    </row>
    <row r="95" spans="2:2" s="102" customFormat="1">
      <c r="B95" s="101"/>
    </row>
    <row r="96" spans="2:2" s="102" customFormat="1">
      <c r="B96" s="101"/>
    </row>
    <row r="97" spans="2:2" s="102" customFormat="1">
      <c r="B97" s="101"/>
    </row>
    <row r="98" spans="2:2" s="102" customFormat="1">
      <c r="B98" s="101"/>
    </row>
    <row r="99" spans="2:2" s="102" customFormat="1">
      <c r="B99" s="101"/>
    </row>
    <row r="100" spans="2:2" s="102" customFormat="1">
      <c r="B100" s="101"/>
    </row>
    <row r="101" spans="2:2" s="102" customFormat="1">
      <c r="B101" s="101"/>
    </row>
    <row r="102" spans="2:2" s="102" customFormat="1">
      <c r="B102" s="101"/>
    </row>
    <row r="103" spans="2:2" s="102" customFormat="1">
      <c r="B103" s="101"/>
    </row>
    <row r="104" spans="2:2" s="102" customFormat="1">
      <c r="B104" s="101"/>
    </row>
    <row r="105" spans="2:2" s="102" customFormat="1">
      <c r="B105" s="101"/>
    </row>
    <row r="106" spans="2:2" s="102" customFormat="1">
      <c r="B106" s="101"/>
    </row>
    <row r="107" spans="2:2" s="102" customFormat="1">
      <c r="B107" s="101"/>
    </row>
    <row r="108" spans="2:2" s="102" customFormat="1">
      <c r="B108" s="101"/>
    </row>
    <row r="109" spans="2:2" s="102" customFormat="1">
      <c r="B109" s="101"/>
    </row>
    <row r="110" spans="2:2" s="102" customFormat="1">
      <c r="B110" s="101"/>
    </row>
    <row r="111" spans="2:2" s="102" customFormat="1">
      <c r="B111" s="101"/>
    </row>
    <row r="112" spans="2:2" s="102" customFormat="1">
      <c r="B112" s="101"/>
    </row>
    <row r="113" spans="2:2" s="102" customFormat="1">
      <c r="B113" s="101"/>
    </row>
    <row r="114" spans="2:2" s="102" customFormat="1">
      <c r="B114" s="101"/>
    </row>
    <row r="115" spans="2:2" s="102" customFormat="1">
      <c r="B115" s="101"/>
    </row>
    <row r="116" spans="2:2" s="102" customFormat="1">
      <c r="B116" s="101"/>
    </row>
    <row r="117" spans="2:2" s="102" customFormat="1">
      <c r="B117" s="101"/>
    </row>
    <row r="118" spans="2:2" s="102" customFormat="1">
      <c r="B118" s="101"/>
    </row>
    <row r="119" spans="2:2" s="102" customFormat="1">
      <c r="B119" s="101"/>
    </row>
    <row r="120" spans="2:2" s="102" customFormat="1">
      <c r="B120" s="101"/>
    </row>
    <row r="121" spans="2:2" s="102" customFormat="1">
      <c r="B121" s="101"/>
    </row>
    <row r="122" spans="2:2" s="102" customFormat="1">
      <c r="B122" s="101"/>
    </row>
    <row r="123" spans="2:2" s="102" customFormat="1">
      <c r="B123" s="101"/>
    </row>
    <row r="124" spans="2:2" s="102" customFormat="1">
      <c r="B124" s="101"/>
    </row>
    <row r="125" spans="2:2" s="102" customFormat="1">
      <c r="B125" s="101"/>
    </row>
    <row r="126" spans="2:2" s="102" customFormat="1">
      <c r="B126" s="101"/>
    </row>
    <row r="127" spans="2:2" s="102" customFormat="1">
      <c r="B127" s="101"/>
    </row>
    <row r="128" spans="2:2" s="102" customFormat="1">
      <c r="B128" s="101"/>
    </row>
    <row r="129" spans="2:2" s="102" customFormat="1">
      <c r="B129" s="101"/>
    </row>
    <row r="130" spans="2:2" s="102" customFormat="1">
      <c r="B130" s="101"/>
    </row>
    <row r="131" spans="2:2" s="102" customFormat="1">
      <c r="B131" s="101"/>
    </row>
    <row r="132" spans="2:2" s="102" customFormat="1">
      <c r="B132" s="101"/>
    </row>
    <row r="133" spans="2:2" s="102" customFormat="1">
      <c r="B133" s="101"/>
    </row>
    <row r="134" spans="2:2" s="102" customFormat="1">
      <c r="B134" s="101"/>
    </row>
    <row r="135" spans="2:2" s="102" customFormat="1">
      <c r="B135" s="101"/>
    </row>
    <row r="136" spans="2:2" s="102" customFormat="1">
      <c r="B136" s="101"/>
    </row>
    <row r="137" spans="2:2" s="102" customFormat="1">
      <c r="B137" s="101"/>
    </row>
    <row r="138" spans="2:2" s="102" customFormat="1">
      <c r="B138" s="101"/>
    </row>
    <row r="139" spans="2:2" s="102" customFormat="1">
      <c r="B139" s="101"/>
    </row>
    <row r="140" spans="2:2" s="102" customFormat="1">
      <c r="B140" s="101"/>
    </row>
    <row r="141" spans="2:2" s="102" customFormat="1">
      <c r="B141" s="101"/>
    </row>
    <row r="142" spans="2:2" s="102" customFormat="1">
      <c r="B142" s="101"/>
    </row>
    <row r="143" spans="2:2" s="102" customFormat="1">
      <c r="B143" s="101"/>
    </row>
    <row r="144" spans="2:2" s="102" customFormat="1">
      <c r="B144" s="101"/>
    </row>
    <row r="145" spans="2:2" s="102" customFormat="1">
      <c r="B145" s="101"/>
    </row>
    <row r="146" spans="2:2" s="102" customFormat="1">
      <c r="B146" s="101"/>
    </row>
    <row r="147" spans="2:2" s="102" customFormat="1">
      <c r="B147" s="101"/>
    </row>
    <row r="148" spans="2:2" s="102" customFormat="1">
      <c r="B148" s="101"/>
    </row>
    <row r="149" spans="2:2" s="102" customFormat="1">
      <c r="B149" s="101"/>
    </row>
    <row r="150" spans="2:2" s="102" customFormat="1">
      <c r="B150" s="101"/>
    </row>
    <row r="151" spans="2:2" s="102" customFormat="1">
      <c r="B151" s="101"/>
    </row>
    <row r="152" spans="2:2" s="102" customFormat="1">
      <c r="B152" s="101"/>
    </row>
    <row r="153" spans="2:2" s="102" customFormat="1">
      <c r="B153" s="101"/>
    </row>
    <row r="154" spans="2:2" s="102" customFormat="1">
      <c r="B154" s="101"/>
    </row>
    <row r="155" spans="2:2" s="102" customFormat="1">
      <c r="B155" s="101"/>
    </row>
    <row r="156" spans="2:2" s="102" customFormat="1">
      <c r="B156" s="101"/>
    </row>
    <row r="157" spans="2:2" s="102" customFormat="1">
      <c r="B157" s="101"/>
    </row>
    <row r="158" spans="2:2" s="102" customFormat="1">
      <c r="B158" s="101"/>
    </row>
    <row r="159" spans="2:2" s="102" customFormat="1">
      <c r="B159" s="101"/>
    </row>
    <row r="160" spans="2:2" s="102" customFormat="1">
      <c r="B160" s="101"/>
    </row>
    <row r="161" spans="2:2" s="102" customFormat="1">
      <c r="B161" s="101"/>
    </row>
    <row r="162" spans="2:2" s="102" customFormat="1">
      <c r="B162" s="101"/>
    </row>
    <row r="163" spans="2:2" s="102" customFormat="1">
      <c r="B163" s="101"/>
    </row>
    <row r="164" spans="2:2" s="102" customFormat="1">
      <c r="B164" s="101"/>
    </row>
    <row r="165" spans="2:2" s="102" customFormat="1">
      <c r="B165" s="101"/>
    </row>
    <row r="166" spans="2:2" s="102" customFormat="1">
      <c r="B166" s="101"/>
    </row>
    <row r="167" spans="2:2" s="102" customFormat="1">
      <c r="B167" s="101"/>
    </row>
    <row r="168" spans="2:2" s="102" customFormat="1">
      <c r="B168" s="101"/>
    </row>
    <row r="169" spans="2:2" s="102" customFormat="1">
      <c r="B169" s="101"/>
    </row>
    <row r="170" spans="2:2" s="102" customFormat="1">
      <c r="B170" s="101"/>
    </row>
    <row r="171" spans="2:2" s="102" customFormat="1">
      <c r="B171" s="101"/>
    </row>
    <row r="172" spans="2:2" s="102" customFormat="1">
      <c r="B172" s="101"/>
    </row>
    <row r="173" spans="2:2" s="102" customFormat="1">
      <c r="B173" s="101"/>
    </row>
    <row r="174" spans="2:2" s="102" customFormat="1">
      <c r="B174" s="101"/>
    </row>
    <row r="175" spans="2:2" s="102" customFormat="1">
      <c r="B175" s="101"/>
    </row>
    <row r="176" spans="2:2" s="102" customFormat="1">
      <c r="B176" s="101"/>
    </row>
    <row r="177" spans="2:2" s="102" customFormat="1">
      <c r="B177" s="101"/>
    </row>
    <row r="178" spans="2:2" s="102" customFormat="1">
      <c r="B178" s="101"/>
    </row>
    <row r="179" spans="2:2" s="102" customFormat="1">
      <c r="B179" s="101"/>
    </row>
    <row r="180" spans="2:2" s="102" customFormat="1">
      <c r="B180" s="101"/>
    </row>
    <row r="181" spans="2:2" s="102" customFormat="1">
      <c r="B181" s="101"/>
    </row>
    <row r="182" spans="2:2" s="102" customFormat="1">
      <c r="B182" s="101"/>
    </row>
    <row r="183" spans="2:2" s="102" customFormat="1">
      <c r="B183" s="101"/>
    </row>
    <row r="184" spans="2:2" s="102" customFormat="1">
      <c r="B184" s="101"/>
    </row>
    <row r="185" spans="2:2" s="102" customFormat="1">
      <c r="B185" s="101"/>
    </row>
    <row r="186" spans="2:2" s="102" customFormat="1">
      <c r="B186" s="101"/>
    </row>
    <row r="187" spans="2:2" s="102" customFormat="1">
      <c r="B187" s="101"/>
    </row>
    <row r="188" spans="2:2" s="102" customFormat="1">
      <c r="B188" s="101"/>
    </row>
    <row r="189" spans="2:2" s="102" customFormat="1">
      <c r="B189" s="101"/>
    </row>
    <row r="190" spans="2:2" s="102" customFormat="1">
      <c r="B190" s="101"/>
    </row>
    <row r="191" spans="2:2" s="102" customFormat="1">
      <c r="B191" s="101"/>
    </row>
    <row r="192" spans="2:2" s="102" customFormat="1">
      <c r="B192" s="101"/>
    </row>
    <row r="193" spans="2:2" s="102" customFormat="1">
      <c r="B193" s="101"/>
    </row>
    <row r="194" spans="2:2" s="102" customFormat="1">
      <c r="B194" s="101"/>
    </row>
    <row r="195" spans="2:2" s="102" customFormat="1">
      <c r="B195" s="101"/>
    </row>
    <row r="196" spans="2:2" s="102" customFormat="1">
      <c r="B196" s="101"/>
    </row>
    <row r="197" spans="2:2" s="102" customFormat="1">
      <c r="B197" s="101"/>
    </row>
    <row r="198" spans="2:2" s="102" customFormat="1">
      <c r="B198" s="101"/>
    </row>
    <row r="199" spans="2:2" s="102" customFormat="1">
      <c r="B199" s="101"/>
    </row>
    <row r="200" spans="2:2" s="102" customFormat="1">
      <c r="B200" s="101"/>
    </row>
    <row r="201" spans="2:2" s="102" customFormat="1">
      <c r="B201" s="101"/>
    </row>
    <row r="202" spans="2:2" s="102" customFormat="1">
      <c r="B202" s="101"/>
    </row>
    <row r="203" spans="2:2" s="102" customFormat="1">
      <c r="B203" s="101"/>
    </row>
    <row r="204" spans="2:2" s="102" customFormat="1">
      <c r="B204" s="101"/>
    </row>
    <row r="205" spans="2:2" s="102" customFormat="1">
      <c r="B205" s="101"/>
    </row>
    <row r="206" spans="2:2" s="102" customFormat="1">
      <c r="B206" s="101"/>
    </row>
    <row r="207" spans="2:2" s="102" customFormat="1">
      <c r="B207" s="101"/>
    </row>
    <row r="208" spans="2:2" s="102" customFormat="1">
      <c r="B208" s="101"/>
    </row>
    <row r="209" spans="2:2" s="102" customFormat="1">
      <c r="B209" s="101"/>
    </row>
    <row r="210" spans="2:2" s="102" customFormat="1">
      <c r="B210" s="101"/>
    </row>
    <row r="211" spans="2:2" s="102" customFormat="1">
      <c r="B211" s="101"/>
    </row>
    <row r="212" spans="2:2" s="102" customFormat="1">
      <c r="B212" s="101"/>
    </row>
    <row r="213" spans="2:2" s="102" customFormat="1">
      <c r="B213" s="101"/>
    </row>
    <row r="214" spans="2:2" s="102" customFormat="1">
      <c r="B214" s="101"/>
    </row>
    <row r="215" spans="2:2" s="102" customFormat="1">
      <c r="B215" s="101"/>
    </row>
    <row r="216" spans="2:2" s="102" customFormat="1">
      <c r="B216" s="101"/>
    </row>
    <row r="217" spans="2:2" s="102" customFormat="1">
      <c r="B217" s="101"/>
    </row>
    <row r="218" spans="2:2" s="102" customFormat="1">
      <c r="B218" s="101"/>
    </row>
    <row r="219" spans="2:2" s="102" customFormat="1">
      <c r="B219" s="101"/>
    </row>
    <row r="220" spans="2:2" s="102" customFormat="1">
      <c r="B220" s="101"/>
    </row>
    <row r="221" spans="2:2" s="102" customFormat="1">
      <c r="B221" s="101"/>
    </row>
    <row r="222" spans="2:2" s="102" customFormat="1">
      <c r="B222" s="101"/>
    </row>
    <row r="223" spans="2:2" s="102" customFormat="1">
      <c r="B223" s="101"/>
    </row>
    <row r="224" spans="2:2" s="102" customFormat="1">
      <c r="B224" s="101"/>
    </row>
    <row r="225" spans="2:2" s="102" customFormat="1">
      <c r="B225" s="101"/>
    </row>
    <row r="226" spans="2:2" s="102" customFormat="1">
      <c r="B226" s="101"/>
    </row>
    <row r="227" spans="2:2" s="102" customFormat="1">
      <c r="B227" s="101"/>
    </row>
    <row r="228" spans="2:2" s="102" customFormat="1">
      <c r="B228" s="101"/>
    </row>
    <row r="229" spans="2:2" s="102" customFormat="1">
      <c r="B229" s="101"/>
    </row>
    <row r="230" spans="2:2" s="102" customFormat="1">
      <c r="B230" s="101"/>
    </row>
    <row r="231" spans="2:2" s="102" customFormat="1">
      <c r="B231" s="101"/>
    </row>
    <row r="232" spans="2:2" s="102" customFormat="1">
      <c r="B232" s="101"/>
    </row>
    <row r="233" spans="2:2" s="102" customFormat="1">
      <c r="B233" s="101"/>
    </row>
    <row r="234" spans="2:2" s="102" customFormat="1">
      <c r="B234" s="101"/>
    </row>
    <row r="235" spans="2:2" s="102" customFormat="1">
      <c r="B235" s="101"/>
    </row>
    <row r="236" spans="2:2" s="102" customFormat="1">
      <c r="B236" s="101"/>
    </row>
    <row r="237" spans="2:2" s="102" customFormat="1">
      <c r="B237" s="101"/>
    </row>
    <row r="238" spans="2:2" s="102" customFormat="1">
      <c r="B238" s="101"/>
    </row>
    <row r="239" spans="2:2" s="102" customFormat="1">
      <c r="B239" s="101"/>
    </row>
    <row r="240" spans="2:2" s="102" customFormat="1">
      <c r="B240" s="101"/>
    </row>
    <row r="241" spans="2:2" s="102" customFormat="1">
      <c r="B241" s="101"/>
    </row>
    <row r="242" spans="2:2" s="102" customFormat="1">
      <c r="B242" s="101"/>
    </row>
    <row r="243" spans="2:2" s="102" customFormat="1">
      <c r="B243" s="101"/>
    </row>
    <row r="244" spans="2:2" s="102" customFormat="1">
      <c r="B244" s="101"/>
    </row>
    <row r="245" spans="2:2" s="102" customFormat="1">
      <c r="B245" s="101"/>
    </row>
    <row r="246" spans="2:2" s="102" customFormat="1">
      <c r="B246" s="101"/>
    </row>
    <row r="247" spans="2:2" s="102" customFormat="1">
      <c r="B247" s="101"/>
    </row>
    <row r="248" spans="2:2" s="102" customFormat="1">
      <c r="B248" s="101"/>
    </row>
    <row r="249" spans="2:2" s="102" customFormat="1">
      <c r="B249" s="101"/>
    </row>
    <row r="250" spans="2:2" s="102" customFormat="1">
      <c r="B250" s="101"/>
    </row>
    <row r="251" spans="2:2" s="102" customFormat="1">
      <c r="B251" s="101"/>
    </row>
    <row r="252" spans="2:2" s="102" customFormat="1">
      <c r="B252" s="101"/>
    </row>
    <row r="253" spans="2:2" s="102" customFormat="1">
      <c r="B253" s="101"/>
    </row>
    <row r="254" spans="2:2" s="102" customFormat="1">
      <c r="B254" s="101"/>
    </row>
    <row r="255" spans="2:2" s="102" customFormat="1">
      <c r="B255" s="101"/>
    </row>
    <row r="256" spans="2:2" s="102" customFormat="1">
      <c r="B256" s="101"/>
    </row>
    <row r="257" spans="2:2" s="102" customFormat="1">
      <c r="B257" s="101"/>
    </row>
    <row r="258" spans="2:2" s="102" customFormat="1">
      <c r="B258" s="101"/>
    </row>
    <row r="259" spans="2:2" s="102" customFormat="1">
      <c r="B259" s="101"/>
    </row>
    <row r="260" spans="2:2" s="102" customFormat="1">
      <c r="B260" s="101"/>
    </row>
    <row r="261" spans="2:2" s="102" customFormat="1">
      <c r="B261" s="101"/>
    </row>
    <row r="262" spans="2:2" s="102" customFormat="1">
      <c r="B262" s="101"/>
    </row>
    <row r="263" spans="2:2" s="102" customFormat="1">
      <c r="B263" s="101"/>
    </row>
    <row r="264" spans="2:2" s="102" customFormat="1">
      <c r="B264" s="101"/>
    </row>
    <row r="265" spans="2:2" s="102" customFormat="1">
      <c r="B265" s="101"/>
    </row>
    <row r="266" spans="2:2" s="102" customFormat="1">
      <c r="B266" s="101"/>
    </row>
    <row r="267" spans="2:2" s="102" customFormat="1">
      <c r="B267" s="101"/>
    </row>
    <row r="268" spans="2:2" s="102" customFormat="1">
      <c r="B268" s="101"/>
    </row>
    <row r="269" spans="2:2" s="102" customFormat="1">
      <c r="B269" s="101"/>
    </row>
    <row r="270" spans="2:2" s="102" customFormat="1">
      <c r="B270" s="101"/>
    </row>
    <row r="271" spans="2:2" s="102" customFormat="1">
      <c r="B271" s="101"/>
    </row>
    <row r="272" spans="2:2" s="102" customFormat="1">
      <c r="B272" s="101"/>
    </row>
    <row r="273" spans="2:2" s="102" customFormat="1">
      <c r="B273" s="101"/>
    </row>
    <row r="274" spans="2:2" s="102" customFormat="1">
      <c r="B274" s="101"/>
    </row>
    <row r="275" spans="2:2" s="102" customFormat="1">
      <c r="B275" s="101"/>
    </row>
    <row r="276" spans="2:2" s="102" customFormat="1">
      <c r="B276" s="101"/>
    </row>
    <row r="277" spans="2:2" s="102" customFormat="1">
      <c r="B277" s="101"/>
    </row>
    <row r="278" spans="2:2" s="102" customFormat="1">
      <c r="B278" s="101"/>
    </row>
    <row r="279" spans="2:2" s="102" customFormat="1">
      <c r="B279" s="101"/>
    </row>
    <row r="280" spans="2:2" s="102" customFormat="1">
      <c r="B280" s="101"/>
    </row>
    <row r="281" spans="2:2" s="102" customFormat="1">
      <c r="B281" s="101"/>
    </row>
    <row r="282" spans="2:2" s="102" customFormat="1">
      <c r="B282" s="101"/>
    </row>
    <row r="283" spans="2:2" s="102" customFormat="1">
      <c r="B283" s="101"/>
    </row>
    <row r="284" spans="2:2" s="102" customFormat="1">
      <c r="B284" s="101"/>
    </row>
    <row r="285" spans="2:2" s="102" customFormat="1">
      <c r="B285" s="101"/>
    </row>
    <row r="286" spans="2:2" s="102" customFormat="1">
      <c r="B286" s="101"/>
    </row>
    <row r="287" spans="2:2" s="102" customFormat="1">
      <c r="B287" s="101"/>
    </row>
    <row r="288" spans="2:2" s="102" customFormat="1">
      <c r="B288" s="101"/>
    </row>
    <row r="289" spans="2:2" s="102" customFormat="1">
      <c r="B289" s="101"/>
    </row>
    <row r="290" spans="2:2" s="102" customFormat="1">
      <c r="B290" s="101"/>
    </row>
    <row r="291" spans="2:2" s="102" customFormat="1">
      <c r="B291" s="101"/>
    </row>
    <row r="292" spans="2:2" s="102" customFormat="1">
      <c r="B292" s="101"/>
    </row>
    <row r="293" spans="2:2" s="102" customFormat="1">
      <c r="B293" s="101"/>
    </row>
    <row r="294" spans="2:2" s="102" customFormat="1">
      <c r="B294" s="101"/>
    </row>
    <row r="295" spans="2:2" s="102" customFormat="1">
      <c r="B295" s="101"/>
    </row>
    <row r="296" spans="2:2" s="102" customFormat="1">
      <c r="B296" s="101"/>
    </row>
    <row r="297" spans="2:2" s="102" customFormat="1">
      <c r="B297" s="101"/>
    </row>
    <row r="298" spans="2:2" s="102" customFormat="1">
      <c r="B298" s="101"/>
    </row>
    <row r="299" spans="2:2" s="102" customFormat="1">
      <c r="B299" s="101"/>
    </row>
    <row r="300" spans="2:2" s="102" customFormat="1">
      <c r="B300" s="101"/>
    </row>
    <row r="301" spans="2:2" s="102" customFormat="1">
      <c r="B301" s="101"/>
    </row>
    <row r="302" spans="2:2" s="102" customFormat="1">
      <c r="B302" s="101"/>
    </row>
    <row r="303" spans="2:2" s="102" customFormat="1">
      <c r="B303" s="101"/>
    </row>
    <row r="304" spans="2:2" s="102" customFormat="1">
      <c r="B304" s="101"/>
    </row>
    <row r="305" spans="2:2" s="102" customFormat="1">
      <c r="B305" s="101"/>
    </row>
    <row r="306" spans="2:2" s="102" customFormat="1">
      <c r="B306" s="101"/>
    </row>
    <row r="307" spans="2:2" s="102" customFormat="1">
      <c r="B307" s="101"/>
    </row>
    <row r="308" spans="2:2" s="102" customFormat="1">
      <c r="B308" s="101"/>
    </row>
    <row r="309" spans="2:2" s="102" customFormat="1">
      <c r="B309" s="101"/>
    </row>
    <row r="310" spans="2:2" s="102" customFormat="1">
      <c r="B310" s="101"/>
    </row>
    <row r="311" spans="2:2" s="102" customFormat="1">
      <c r="B311" s="101"/>
    </row>
    <row r="312" spans="2:2" s="102" customFormat="1">
      <c r="B312" s="101"/>
    </row>
    <row r="313" spans="2:2" s="102" customFormat="1">
      <c r="B313" s="101"/>
    </row>
    <row r="314" spans="2:2" s="102" customFormat="1">
      <c r="B314" s="101"/>
    </row>
    <row r="315" spans="2:2" s="102" customFormat="1">
      <c r="B315" s="101"/>
    </row>
    <row r="316" spans="2:2" s="102" customFormat="1">
      <c r="B316" s="101"/>
    </row>
    <row r="317" spans="2:2" s="102" customFormat="1">
      <c r="B317" s="101"/>
    </row>
    <row r="318" spans="2:2" s="102" customFormat="1">
      <c r="B318" s="101"/>
    </row>
    <row r="319" spans="2:2" s="102" customFormat="1">
      <c r="B319" s="101"/>
    </row>
    <row r="320" spans="2:2" s="102" customFormat="1">
      <c r="B320" s="101"/>
    </row>
    <row r="321" spans="2:2" s="102" customFormat="1">
      <c r="B321" s="101"/>
    </row>
    <row r="322" spans="2:2" s="102" customFormat="1">
      <c r="B322" s="101"/>
    </row>
    <row r="323" spans="2:2" s="102" customFormat="1">
      <c r="B323" s="101"/>
    </row>
    <row r="324" spans="2:2" s="102" customFormat="1">
      <c r="B324" s="101"/>
    </row>
    <row r="325" spans="2:2" s="102" customFormat="1">
      <c r="B325" s="101"/>
    </row>
    <row r="326" spans="2:2" s="102" customFormat="1">
      <c r="B326" s="101"/>
    </row>
    <row r="327" spans="2:2" s="102" customFormat="1">
      <c r="B327" s="101"/>
    </row>
    <row r="328" spans="2:2" s="102" customFormat="1">
      <c r="B328" s="101"/>
    </row>
    <row r="329" spans="2:2" s="102" customFormat="1">
      <c r="B329" s="101"/>
    </row>
    <row r="330" spans="2:2" s="102" customFormat="1">
      <c r="B330" s="101"/>
    </row>
    <row r="331" spans="2:2" s="102" customFormat="1">
      <c r="B331" s="101"/>
    </row>
    <row r="332" spans="2:2" s="102" customFormat="1">
      <c r="B332" s="101"/>
    </row>
    <row r="333" spans="2:2" s="102" customFormat="1">
      <c r="B333" s="101"/>
    </row>
    <row r="334" spans="2:2" s="102" customFormat="1">
      <c r="B334" s="101"/>
    </row>
    <row r="335" spans="2:2" s="102" customFormat="1">
      <c r="B335" s="101"/>
    </row>
    <row r="336" spans="2:2" s="102" customFormat="1">
      <c r="B336" s="101"/>
    </row>
    <row r="337" spans="2:2" s="102" customFormat="1">
      <c r="B337" s="101"/>
    </row>
    <row r="338" spans="2:2" s="102" customFormat="1">
      <c r="B338" s="101"/>
    </row>
    <row r="339" spans="2:2" s="102" customFormat="1">
      <c r="B339" s="101"/>
    </row>
    <row r="340" spans="2:2" s="102" customFormat="1">
      <c r="B340" s="101"/>
    </row>
    <row r="341" spans="2:2" s="102" customFormat="1">
      <c r="B341" s="101"/>
    </row>
    <row r="342" spans="2:2" s="102" customFormat="1">
      <c r="B342" s="101"/>
    </row>
    <row r="343" spans="2:2" s="102" customFormat="1">
      <c r="B343" s="101"/>
    </row>
    <row r="344" spans="2:2" s="102" customFormat="1">
      <c r="B344" s="101"/>
    </row>
    <row r="345" spans="2:2" s="102" customFormat="1">
      <c r="B345" s="101"/>
    </row>
    <row r="346" spans="2:2" s="102" customFormat="1">
      <c r="B346" s="101"/>
    </row>
    <row r="347" spans="2:2" s="102" customFormat="1">
      <c r="B347" s="101"/>
    </row>
    <row r="348" spans="2:2" s="102" customFormat="1">
      <c r="B348" s="101"/>
    </row>
    <row r="349" spans="2:2" s="102" customFormat="1">
      <c r="B349" s="101"/>
    </row>
    <row r="350" spans="2:2" s="102" customFormat="1">
      <c r="B350" s="101"/>
    </row>
    <row r="351" spans="2:2" s="102" customFormat="1">
      <c r="B351" s="101"/>
    </row>
    <row r="352" spans="2:2" s="102" customFormat="1">
      <c r="B352" s="101"/>
    </row>
    <row r="353" spans="2:2" s="102" customFormat="1">
      <c r="B353" s="101"/>
    </row>
    <row r="354" spans="2:2" s="102" customFormat="1">
      <c r="B354" s="101"/>
    </row>
    <row r="355" spans="2:2" s="102" customFormat="1">
      <c r="B355" s="101"/>
    </row>
    <row r="356" spans="2:2" s="102" customFormat="1">
      <c r="B356" s="101"/>
    </row>
    <row r="357" spans="2:2" s="102" customFormat="1">
      <c r="B357" s="101"/>
    </row>
    <row r="358" spans="2:2" s="102" customFormat="1">
      <c r="B358" s="101"/>
    </row>
    <row r="359" spans="2:2" s="102" customFormat="1">
      <c r="B359" s="101"/>
    </row>
    <row r="360" spans="2:2" s="102" customFormat="1">
      <c r="B360" s="101"/>
    </row>
    <row r="361" spans="2:2" s="102" customFormat="1">
      <c r="B361" s="101"/>
    </row>
    <row r="362" spans="2:2" s="102" customFormat="1">
      <c r="B362" s="101"/>
    </row>
    <row r="363" spans="2:2" s="102" customFormat="1">
      <c r="B363" s="101"/>
    </row>
    <row r="364" spans="2:2" s="102" customFormat="1">
      <c r="B364" s="101"/>
    </row>
    <row r="365" spans="2:2" s="102" customFormat="1">
      <c r="B365" s="101"/>
    </row>
    <row r="366" spans="2:2" s="102" customFormat="1">
      <c r="B366" s="101"/>
    </row>
    <row r="367" spans="2:2" s="102" customFormat="1">
      <c r="B367" s="101"/>
    </row>
    <row r="368" spans="2:2" s="102" customFormat="1">
      <c r="B368" s="101"/>
    </row>
    <row r="369" spans="2:2" s="102" customFormat="1">
      <c r="B369" s="101"/>
    </row>
    <row r="370" spans="2:2" s="102" customFormat="1">
      <c r="B370" s="101"/>
    </row>
    <row r="371" spans="2:2" s="102" customFormat="1">
      <c r="B371" s="101"/>
    </row>
    <row r="372" spans="2:2" s="102" customFormat="1">
      <c r="B372" s="101"/>
    </row>
    <row r="373" spans="2:2" s="102" customFormat="1">
      <c r="B373" s="101"/>
    </row>
    <row r="374" spans="2:2" s="102" customFormat="1">
      <c r="B374" s="101"/>
    </row>
    <row r="375" spans="2:2" s="102" customFormat="1">
      <c r="B375" s="101"/>
    </row>
    <row r="376" spans="2:2" s="102" customFormat="1">
      <c r="B376" s="101"/>
    </row>
    <row r="377" spans="2:2" s="102" customFormat="1">
      <c r="B377" s="101"/>
    </row>
    <row r="378" spans="2:2" s="102" customFormat="1">
      <c r="B378" s="101"/>
    </row>
    <row r="379" spans="2:2" s="102" customFormat="1">
      <c r="B379" s="101"/>
    </row>
    <row r="380" spans="2:2" s="102" customFormat="1">
      <c r="B380" s="101"/>
    </row>
    <row r="381" spans="2:2" s="102" customFormat="1">
      <c r="B381" s="101"/>
    </row>
    <row r="382" spans="2:2" s="102" customFormat="1">
      <c r="B382" s="101"/>
    </row>
    <row r="383" spans="2:2" s="102" customFormat="1">
      <c r="B383" s="101"/>
    </row>
    <row r="384" spans="2:2" s="102" customFormat="1">
      <c r="B384" s="101"/>
    </row>
    <row r="385" spans="2:2" s="102" customFormat="1">
      <c r="B385" s="101"/>
    </row>
    <row r="386" spans="2:2" s="102" customFormat="1">
      <c r="B386" s="101"/>
    </row>
    <row r="387" spans="2:2" s="102" customFormat="1">
      <c r="B387" s="101"/>
    </row>
    <row r="388" spans="2:2" s="102" customFormat="1">
      <c r="B388" s="101"/>
    </row>
    <row r="389" spans="2:2" s="102" customFormat="1">
      <c r="B389" s="101"/>
    </row>
    <row r="390" spans="2:2" s="102" customFormat="1">
      <c r="B390" s="101"/>
    </row>
    <row r="391" spans="2:2" s="102" customFormat="1">
      <c r="B391" s="101"/>
    </row>
    <row r="392" spans="2:2" s="102" customFormat="1">
      <c r="B392" s="101"/>
    </row>
    <row r="393" spans="2:2" s="102" customFormat="1">
      <c r="B393" s="101"/>
    </row>
    <row r="394" spans="2:2" s="102" customFormat="1">
      <c r="B394" s="101"/>
    </row>
    <row r="395" spans="2:2" s="102" customFormat="1">
      <c r="B395" s="101"/>
    </row>
    <row r="396" spans="2:2" s="102" customFormat="1">
      <c r="B396" s="101"/>
    </row>
    <row r="397" spans="2:2" s="102" customFormat="1">
      <c r="B397" s="101"/>
    </row>
    <row r="398" spans="2:2" s="102" customFormat="1">
      <c r="B398" s="101"/>
    </row>
    <row r="399" spans="2:2" s="102" customFormat="1">
      <c r="B399" s="101"/>
    </row>
    <row r="400" spans="2:2" s="102" customFormat="1">
      <c r="B400" s="101"/>
    </row>
    <row r="401" spans="2:2" s="102" customFormat="1">
      <c r="B401" s="101"/>
    </row>
    <row r="402" spans="2:2" s="102" customFormat="1">
      <c r="B402" s="101"/>
    </row>
    <row r="403" spans="2:2" s="102" customFormat="1">
      <c r="B403" s="101"/>
    </row>
    <row r="404" spans="2:2" s="102" customFormat="1">
      <c r="B404" s="101"/>
    </row>
    <row r="405" spans="2:2" s="102" customFormat="1">
      <c r="B405" s="101"/>
    </row>
    <row r="406" spans="2:2" s="102" customFormat="1">
      <c r="B406" s="101"/>
    </row>
    <row r="407" spans="2:2" s="102" customFormat="1">
      <c r="B407" s="101"/>
    </row>
    <row r="408" spans="2:2" s="102" customFormat="1">
      <c r="B408" s="101"/>
    </row>
    <row r="409" spans="2:2" s="102" customFormat="1">
      <c r="B409" s="101"/>
    </row>
    <row r="410" spans="2:2" s="102" customFormat="1">
      <c r="B410" s="101"/>
    </row>
    <row r="411" spans="2:2" s="102" customFormat="1">
      <c r="B411" s="101"/>
    </row>
    <row r="412" spans="2:2" s="102" customFormat="1">
      <c r="B412" s="101"/>
    </row>
    <row r="413" spans="2:2" s="102" customFormat="1">
      <c r="B413" s="101"/>
    </row>
    <row r="414" spans="2:2" s="102" customFormat="1">
      <c r="B414" s="101"/>
    </row>
    <row r="415" spans="2:2" s="102" customFormat="1">
      <c r="B415" s="101"/>
    </row>
    <row r="416" spans="2:2" s="102" customFormat="1">
      <c r="B416" s="101"/>
    </row>
    <row r="417" spans="2:2" s="102" customFormat="1">
      <c r="B417" s="101"/>
    </row>
    <row r="418" spans="2:2" s="102" customFormat="1">
      <c r="B418" s="101"/>
    </row>
    <row r="419" spans="2:2" s="102" customFormat="1">
      <c r="B419" s="101"/>
    </row>
    <row r="420" spans="2:2" s="102" customFormat="1">
      <c r="B420" s="101"/>
    </row>
    <row r="421" spans="2:2" s="102" customFormat="1">
      <c r="B421" s="101"/>
    </row>
    <row r="422" spans="2:2" s="102" customFormat="1">
      <c r="B422" s="101"/>
    </row>
    <row r="423" spans="2:2" s="102" customFormat="1">
      <c r="B423" s="101"/>
    </row>
    <row r="424" spans="2:2" s="102" customFormat="1">
      <c r="B424" s="101"/>
    </row>
    <row r="425" spans="2:2" s="102" customFormat="1">
      <c r="B425" s="101"/>
    </row>
    <row r="426" spans="2:2" s="102" customFormat="1">
      <c r="B426" s="101"/>
    </row>
    <row r="427" spans="2:2" s="102" customFormat="1">
      <c r="B427" s="101"/>
    </row>
    <row r="428" spans="2:2" s="102" customFormat="1">
      <c r="B428" s="101"/>
    </row>
    <row r="429" spans="2:2" s="102" customFormat="1">
      <c r="B429" s="101"/>
    </row>
    <row r="430" spans="2:2" s="102" customFormat="1">
      <c r="B430" s="101"/>
    </row>
    <row r="431" spans="2:2" s="102" customFormat="1">
      <c r="B431" s="101"/>
    </row>
    <row r="432" spans="2:2" s="102" customFormat="1">
      <c r="B432" s="101"/>
    </row>
    <row r="433" spans="2:2" s="102" customFormat="1">
      <c r="B433" s="101"/>
    </row>
    <row r="434" spans="2:2" s="102" customFormat="1">
      <c r="B434" s="101"/>
    </row>
    <row r="435" spans="2:2" s="102" customFormat="1">
      <c r="B435" s="101"/>
    </row>
    <row r="436" spans="2:2" s="102" customFormat="1">
      <c r="B436" s="101"/>
    </row>
    <row r="437" spans="2:2" s="102" customFormat="1">
      <c r="B437" s="101"/>
    </row>
    <row r="438" spans="2:2" s="102" customFormat="1">
      <c r="B438" s="101"/>
    </row>
    <row r="439" spans="2:2" s="102" customFormat="1">
      <c r="B439" s="101"/>
    </row>
    <row r="440" spans="2:2" s="102" customFormat="1">
      <c r="B440" s="101"/>
    </row>
    <row r="441" spans="2:2" s="102" customFormat="1">
      <c r="B441" s="101"/>
    </row>
    <row r="442" spans="2:2" s="102" customFormat="1">
      <c r="B442" s="101"/>
    </row>
    <row r="443" spans="2:2" s="102" customFormat="1">
      <c r="B443" s="101"/>
    </row>
    <row r="444" spans="2:2" s="102" customFormat="1">
      <c r="B444" s="101"/>
    </row>
    <row r="445" spans="2:2" s="102" customFormat="1">
      <c r="B445" s="101"/>
    </row>
    <row r="446" spans="2:2" s="102" customFormat="1">
      <c r="B446" s="101"/>
    </row>
    <row r="447" spans="2:2" s="102" customFormat="1">
      <c r="B447" s="101"/>
    </row>
    <row r="448" spans="2:2" s="102" customFormat="1">
      <c r="B448" s="101"/>
    </row>
    <row r="449" spans="2:2" s="102" customFormat="1">
      <c r="B449" s="101"/>
    </row>
    <row r="450" spans="2:2" s="102" customFormat="1">
      <c r="B450" s="101"/>
    </row>
    <row r="451" spans="2:2" s="102" customFormat="1">
      <c r="B451" s="101"/>
    </row>
    <row r="452" spans="2:2" s="102" customFormat="1">
      <c r="B452" s="101"/>
    </row>
    <row r="453" spans="2:2" s="102" customFormat="1">
      <c r="B453" s="101"/>
    </row>
    <row r="454" spans="2:2" s="102" customFormat="1">
      <c r="B454" s="101"/>
    </row>
    <row r="455" spans="2:2" s="102" customFormat="1">
      <c r="B455" s="101"/>
    </row>
    <row r="456" spans="2:2" s="102" customFormat="1">
      <c r="B456" s="101"/>
    </row>
    <row r="457" spans="2:2" s="102" customFormat="1">
      <c r="B457" s="101"/>
    </row>
    <row r="458" spans="2:2" s="102" customFormat="1">
      <c r="B458" s="101"/>
    </row>
    <row r="459" spans="2:2" s="102" customFormat="1">
      <c r="B459" s="101"/>
    </row>
    <row r="460" spans="2:2" s="102" customFormat="1">
      <c r="B460" s="101"/>
    </row>
    <row r="461" spans="2:2" s="102" customFormat="1">
      <c r="B461" s="101"/>
    </row>
    <row r="462" spans="2:2" s="102" customFormat="1">
      <c r="B462" s="101"/>
    </row>
    <row r="463" spans="2:2" s="102" customFormat="1">
      <c r="B463" s="101"/>
    </row>
    <row r="464" spans="2:2" s="102" customFormat="1">
      <c r="B464" s="101"/>
    </row>
    <row r="465" spans="2:2" s="102" customFormat="1">
      <c r="B465" s="101"/>
    </row>
    <row r="466" spans="2:2" s="102" customFormat="1">
      <c r="B466" s="101"/>
    </row>
    <row r="467" spans="2:2" s="102" customFormat="1">
      <c r="B467" s="101"/>
    </row>
    <row r="468" spans="2:2" s="102" customFormat="1">
      <c r="B468" s="101"/>
    </row>
    <row r="469" spans="2:2" s="102" customFormat="1">
      <c r="B469" s="101"/>
    </row>
    <row r="470" spans="2:2" s="102" customFormat="1">
      <c r="B470" s="101"/>
    </row>
    <row r="471" spans="2:2" s="102" customFormat="1">
      <c r="B471" s="101"/>
    </row>
    <row r="472" spans="2:2" s="102" customFormat="1">
      <c r="B472" s="101"/>
    </row>
    <row r="473" spans="2:2" s="102" customFormat="1">
      <c r="B473" s="101"/>
    </row>
    <row r="474" spans="2:2" s="102" customFormat="1">
      <c r="B474" s="101"/>
    </row>
    <row r="475" spans="2:2" s="102" customFormat="1">
      <c r="B475" s="101"/>
    </row>
    <row r="476" spans="2:2" s="102" customFormat="1">
      <c r="B476" s="101"/>
    </row>
    <row r="477" spans="2:2" s="102" customFormat="1">
      <c r="B477" s="101"/>
    </row>
    <row r="478" spans="2:2" s="102" customFormat="1">
      <c r="B478" s="101"/>
    </row>
    <row r="479" spans="2:2" s="102" customFormat="1">
      <c r="B479" s="101"/>
    </row>
    <row r="480" spans="2:2" s="102" customFormat="1">
      <c r="B480" s="101"/>
    </row>
    <row r="481" spans="2:2" s="102" customFormat="1">
      <c r="B481" s="101"/>
    </row>
    <row r="482" spans="2:2" s="102" customFormat="1">
      <c r="B482" s="101"/>
    </row>
    <row r="483" spans="2:2" s="102" customFormat="1">
      <c r="B483" s="101"/>
    </row>
    <row r="484" spans="2:2" s="102" customFormat="1">
      <c r="B484" s="101"/>
    </row>
    <row r="485" spans="2:2" s="102" customFormat="1">
      <c r="B485" s="101"/>
    </row>
    <row r="486" spans="2:2" s="102" customFormat="1">
      <c r="B486" s="101"/>
    </row>
    <row r="487" spans="2:2" s="102" customFormat="1">
      <c r="B487" s="101"/>
    </row>
    <row r="488" spans="2:2" s="102" customFormat="1">
      <c r="B488" s="101"/>
    </row>
    <row r="489" spans="2:2" s="102" customFormat="1">
      <c r="B489" s="101"/>
    </row>
    <row r="490" spans="2:2" s="102" customFormat="1">
      <c r="B490" s="101"/>
    </row>
    <row r="491" spans="2:2" s="102" customFormat="1">
      <c r="B491" s="101"/>
    </row>
    <row r="492" spans="2:2" s="102" customFormat="1">
      <c r="B492" s="101"/>
    </row>
    <row r="493" spans="2:2" s="102" customFormat="1">
      <c r="B493" s="101"/>
    </row>
    <row r="494" spans="2:2" s="102" customFormat="1">
      <c r="B494" s="101"/>
    </row>
    <row r="495" spans="2:2" s="102" customFormat="1">
      <c r="B495" s="101"/>
    </row>
    <row r="496" spans="2:2" s="102" customFormat="1">
      <c r="B496" s="101"/>
    </row>
    <row r="497" spans="2:2" s="102" customFormat="1">
      <c r="B497" s="101"/>
    </row>
    <row r="498" spans="2:2" s="102" customFormat="1">
      <c r="B498" s="101"/>
    </row>
    <row r="499" spans="2:2" s="102" customFormat="1">
      <c r="B499" s="101"/>
    </row>
    <row r="500" spans="2:2" s="102" customFormat="1">
      <c r="B500" s="101"/>
    </row>
    <row r="501" spans="2:2" s="102" customFormat="1">
      <c r="B501" s="101"/>
    </row>
    <row r="502" spans="2:2" s="102" customFormat="1">
      <c r="B502" s="101"/>
    </row>
    <row r="503" spans="2:2" s="102" customFormat="1">
      <c r="B503" s="101"/>
    </row>
    <row r="504" spans="2:2" s="102" customFormat="1">
      <c r="B504" s="101"/>
    </row>
    <row r="505" spans="2:2" s="102" customFormat="1">
      <c r="B505" s="101"/>
    </row>
    <row r="506" spans="2:2" s="102" customFormat="1">
      <c r="B506" s="101"/>
    </row>
    <row r="507" spans="2:2" s="102" customFormat="1">
      <c r="B507" s="101"/>
    </row>
    <row r="508" spans="2:2" s="102" customFormat="1">
      <c r="B508" s="101"/>
    </row>
    <row r="509" spans="2:2" s="102" customFormat="1">
      <c r="B509" s="101"/>
    </row>
    <row r="510" spans="2:2" s="102" customFormat="1">
      <c r="B510" s="101"/>
    </row>
    <row r="511" spans="2:2" s="102" customFormat="1">
      <c r="B511" s="101"/>
    </row>
    <row r="512" spans="2:2" s="102" customFormat="1">
      <c r="B512" s="101"/>
    </row>
    <row r="513" spans="2:2" s="102" customFormat="1">
      <c r="B513" s="101"/>
    </row>
    <row r="514" spans="2:2" s="102" customFormat="1">
      <c r="B514" s="101"/>
    </row>
    <row r="515" spans="2:2" s="102" customFormat="1">
      <c r="B515" s="101"/>
    </row>
    <row r="516" spans="2:2" s="102" customFormat="1">
      <c r="B516" s="101"/>
    </row>
    <row r="517" spans="2:2" s="102" customFormat="1">
      <c r="B517" s="101"/>
    </row>
    <row r="518" spans="2:2" s="102" customFormat="1">
      <c r="B518" s="101"/>
    </row>
    <row r="519" spans="2:2" s="102" customFormat="1">
      <c r="B519" s="101"/>
    </row>
    <row r="520" spans="2:2" s="102" customFormat="1">
      <c r="B520" s="101"/>
    </row>
    <row r="521" spans="2:2" s="102" customFormat="1">
      <c r="B521" s="101"/>
    </row>
    <row r="522" spans="2:2" s="102" customFormat="1">
      <c r="B522" s="101"/>
    </row>
    <row r="523" spans="2:2" s="102" customFormat="1">
      <c r="B523" s="101"/>
    </row>
    <row r="524" spans="2:2" s="102" customFormat="1">
      <c r="B524" s="101"/>
    </row>
    <row r="525" spans="2:2" s="102" customFormat="1">
      <c r="B525" s="101"/>
    </row>
    <row r="526" spans="2:2" s="102" customFormat="1">
      <c r="B526" s="101"/>
    </row>
    <row r="527" spans="2:2" s="102" customFormat="1">
      <c r="B527" s="101"/>
    </row>
    <row r="528" spans="2:2" s="102" customFormat="1">
      <c r="B528" s="101"/>
    </row>
    <row r="529" spans="2:2" s="102" customFormat="1">
      <c r="B529" s="101"/>
    </row>
    <row r="530" spans="2:2" s="102" customFormat="1">
      <c r="B530" s="101"/>
    </row>
    <row r="531" spans="2:2" s="102" customFormat="1">
      <c r="B531" s="101"/>
    </row>
    <row r="532" spans="2:2" s="102" customFormat="1">
      <c r="B532" s="101"/>
    </row>
    <row r="533" spans="2:2" s="102" customFormat="1">
      <c r="B533" s="101"/>
    </row>
    <row r="534" spans="2:2" s="102" customFormat="1">
      <c r="B534" s="101"/>
    </row>
    <row r="535" spans="2:2" s="102" customFormat="1">
      <c r="B535" s="101"/>
    </row>
    <row r="536" spans="2:2" s="102" customFormat="1">
      <c r="B536" s="101"/>
    </row>
    <row r="537" spans="2:2" s="102" customFormat="1">
      <c r="B537" s="101"/>
    </row>
    <row r="538" spans="2:2" s="102" customFormat="1">
      <c r="B538" s="101"/>
    </row>
    <row r="539" spans="2:2" s="102" customFormat="1">
      <c r="B539" s="101"/>
    </row>
    <row r="540" spans="2:2" s="102" customFormat="1">
      <c r="B540" s="101"/>
    </row>
    <row r="541" spans="2:2" s="102" customFormat="1">
      <c r="B541" s="101"/>
    </row>
    <row r="542" spans="2:2" s="102" customFormat="1">
      <c r="B542" s="101"/>
    </row>
    <row r="543" spans="2:2" s="102" customFormat="1">
      <c r="B543" s="101"/>
    </row>
    <row r="544" spans="2:2" s="102" customFormat="1">
      <c r="B544" s="101"/>
    </row>
    <row r="545" spans="2:2" s="102" customFormat="1">
      <c r="B545" s="101"/>
    </row>
    <row r="546" spans="2:2" s="102" customFormat="1">
      <c r="B546" s="101"/>
    </row>
    <row r="547" spans="2:2" s="102" customFormat="1">
      <c r="B547" s="101"/>
    </row>
    <row r="548" spans="2:2" s="102" customFormat="1">
      <c r="B548" s="101"/>
    </row>
    <row r="549" spans="2:2" s="102" customFormat="1">
      <c r="B549" s="101"/>
    </row>
    <row r="550" spans="2:2" s="102" customFormat="1">
      <c r="B550" s="101"/>
    </row>
    <row r="551" spans="2:2" s="102" customFormat="1">
      <c r="B551" s="101"/>
    </row>
    <row r="552" spans="2:2" s="102" customFormat="1">
      <c r="B552" s="101"/>
    </row>
    <row r="553" spans="2:2" s="102" customFormat="1">
      <c r="B553" s="101"/>
    </row>
    <row r="554" spans="2:2" s="102" customFormat="1">
      <c r="B554" s="101"/>
    </row>
    <row r="555" spans="2:2" s="102" customFormat="1">
      <c r="B555" s="101"/>
    </row>
    <row r="556" spans="2:2" s="102" customFormat="1">
      <c r="B556" s="101"/>
    </row>
    <row r="557" spans="2:2" s="102" customFormat="1">
      <c r="B557" s="101"/>
    </row>
    <row r="558" spans="2:2" s="102" customFormat="1">
      <c r="B558" s="101"/>
    </row>
    <row r="559" spans="2:2" s="102" customFormat="1">
      <c r="B559" s="101"/>
    </row>
    <row r="560" spans="2:2" s="102" customFormat="1">
      <c r="B560" s="101"/>
    </row>
    <row r="561" spans="2:2" s="102" customFormat="1">
      <c r="B561" s="101"/>
    </row>
    <row r="562" spans="2:2" s="102" customFormat="1">
      <c r="B562" s="101"/>
    </row>
    <row r="563" spans="2:2" s="102" customFormat="1">
      <c r="B563" s="101"/>
    </row>
    <row r="564" spans="2:2" s="102" customFormat="1">
      <c r="B564" s="101"/>
    </row>
    <row r="565" spans="2:2" s="102" customFormat="1">
      <c r="B565" s="101"/>
    </row>
    <row r="566" spans="2:2" s="102" customFormat="1">
      <c r="B566" s="101"/>
    </row>
    <row r="567" spans="2:2" s="102" customFormat="1">
      <c r="B567" s="101"/>
    </row>
    <row r="568" spans="2:2" s="102" customFormat="1">
      <c r="B568" s="101"/>
    </row>
    <row r="569" spans="2:2" s="102" customFormat="1">
      <c r="B569" s="101"/>
    </row>
    <row r="570" spans="2:2" s="102" customFormat="1">
      <c r="B570" s="101"/>
    </row>
    <row r="571" spans="2:2" s="102" customFormat="1">
      <c r="B571" s="101"/>
    </row>
    <row r="572" spans="2:2" s="102" customFormat="1">
      <c r="B572" s="101"/>
    </row>
    <row r="573" spans="2:2" s="102" customFormat="1">
      <c r="B573" s="101"/>
    </row>
    <row r="574" spans="2:2" s="102" customFormat="1">
      <c r="B574" s="101"/>
    </row>
    <row r="575" spans="2:2" s="102" customFormat="1">
      <c r="B575" s="101"/>
    </row>
    <row r="576" spans="2:2" s="102" customFormat="1">
      <c r="B576" s="101"/>
    </row>
    <row r="577" spans="2:2" s="102" customFormat="1">
      <c r="B577" s="101"/>
    </row>
    <row r="578" spans="2:2" s="102" customFormat="1">
      <c r="B578" s="101"/>
    </row>
    <row r="579" spans="2:2" s="102" customFormat="1">
      <c r="B579" s="101"/>
    </row>
    <row r="580" spans="2:2" s="102" customFormat="1">
      <c r="B580" s="101"/>
    </row>
    <row r="581" spans="2:2" s="102" customFormat="1">
      <c r="B581" s="101"/>
    </row>
    <row r="582" spans="2:2" s="102" customFormat="1">
      <c r="B582" s="101"/>
    </row>
    <row r="583" spans="2:2" s="102" customFormat="1">
      <c r="B583" s="101"/>
    </row>
    <row r="584" spans="2:2" s="102" customFormat="1">
      <c r="B584" s="101"/>
    </row>
    <row r="585" spans="2:2" s="102" customFormat="1">
      <c r="B585" s="101"/>
    </row>
    <row r="586" spans="2:2" s="102" customFormat="1">
      <c r="B586" s="101"/>
    </row>
    <row r="587" spans="2:2" s="102" customFormat="1">
      <c r="B587" s="101"/>
    </row>
    <row r="588" spans="2:2" s="102" customFormat="1">
      <c r="B588" s="101"/>
    </row>
    <row r="589" spans="2:2" s="102" customFormat="1">
      <c r="B589" s="101"/>
    </row>
    <row r="590" spans="2:2" s="102" customFormat="1">
      <c r="B590" s="101"/>
    </row>
    <row r="591" spans="2:2" s="102" customFormat="1">
      <c r="B591" s="101"/>
    </row>
    <row r="592" spans="2:2" s="102" customFormat="1">
      <c r="B592" s="101"/>
    </row>
    <row r="593" spans="2:2" s="102" customFormat="1">
      <c r="B593" s="101"/>
    </row>
    <row r="594" spans="2:2" s="102" customFormat="1">
      <c r="B594" s="101"/>
    </row>
    <row r="595" spans="2:2" s="102" customFormat="1">
      <c r="B595" s="101"/>
    </row>
    <row r="596" spans="2:2" s="102" customFormat="1">
      <c r="B596" s="101"/>
    </row>
    <row r="597" spans="2:2" s="102" customFormat="1">
      <c r="B597" s="101"/>
    </row>
    <row r="598" spans="2:2" s="102" customFormat="1">
      <c r="B598" s="101"/>
    </row>
    <row r="599" spans="2:2" s="102" customFormat="1">
      <c r="B599" s="101"/>
    </row>
    <row r="600" spans="2:2" s="102" customFormat="1">
      <c r="B600" s="101"/>
    </row>
    <row r="601" spans="2:2" s="102" customFormat="1">
      <c r="B601" s="101"/>
    </row>
    <row r="602" spans="2:2" s="102" customFormat="1">
      <c r="B602" s="101"/>
    </row>
    <row r="603" spans="2:2" s="102" customFormat="1">
      <c r="B603" s="101"/>
    </row>
    <row r="604" spans="2:2" s="102" customFormat="1">
      <c r="B604" s="101"/>
    </row>
    <row r="605" spans="2:2" s="102" customFormat="1">
      <c r="B605" s="101"/>
    </row>
    <row r="606" spans="2:2" s="102" customFormat="1">
      <c r="B606" s="101"/>
    </row>
    <row r="607" spans="2:2" s="102" customFormat="1">
      <c r="B607" s="101"/>
    </row>
    <row r="608" spans="2:2" s="102" customFormat="1">
      <c r="B608" s="101"/>
    </row>
    <row r="609" spans="2:2" s="102" customFormat="1">
      <c r="B609" s="101"/>
    </row>
    <row r="610" spans="2:2" s="102" customFormat="1">
      <c r="B610" s="101"/>
    </row>
    <row r="611" spans="2:2" s="102" customFormat="1">
      <c r="B611" s="101"/>
    </row>
    <row r="612" spans="2:2" s="102" customFormat="1">
      <c r="B612" s="101"/>
    </row>
    <row r="613" spans="2:2" s="102" customFormat="1">
      <c r="B613" s="101"/>
    </row>
    <row r="614" spans="2:2" s="102" customFormat="1">
      <c r="B614" s="101"/>
    </row>
    <row r="615" spans="2:2" s="102" customFormat="1">
      <c r="B615" s="101"/>
    </row>
    <row r="616" spans="2:2" s="102" customFormat="1">
      <c r="B616" s="101"/>
    </row>
    <row r="617" spans="2:2" s="102" customFormat="1">
      <c r="B617" s="101"/>
    </row>
    <row r="618" spans="2:2" s="102" customFormat="1">
      <c r="B618" s="101"/>
    </row>
    <row r="619" spans="2:2" s="102" customFormat="1">
      <c r="B619" s="101"/>
    </row>
    <row r="620" spans="2:2" s="102" customFormat="1">
      <c r="B620" s="101"/>
    </row>
    <row r="621" spans="2:2" s="102" customFormat="1">
      <c r="B621" s="101"/>
    </row>
    <row r="622" spans="2:2" s="102" customFormat="1">
      <c r="B622" s="101"/>
    </row>
    <row r="623" spans="2:2" s="102" customFormat="1">
      <c r="B623" s="101"/>
    </row>
    <row r="624" spans="2:2" s="102" customFormat="1">
      <c r="B624" s="101"/>
    </row>
    <row r="625" spans="2:2" s="102" customFormat="1">
      <c r="B625" s="101"/>
    </row>
    <row r="626" spans="2:2" s="102" customFormat="1">
      <c r="B626" s="101"/>
    </row>
    <row r="627" spans="2:2" s="102" customFormat="1">
      <c r="B627" s="101"/>
    </row>
    <row r="628" spans="2:2" s="102" customFormat="1">
      <c r="B628" s="101"/>
    </row>
    <row r="629" spans="2:2" s="102" customFormat="1">
      <c r="B629" s="101"/>
    </row>
    <row r="630" spans="2:2" s="102" customFormat="1">
      <c r="B630" s="101"/>
    </row>
    <row r="631" spans="2:2" s="102" customFormat="1">
      <c r="B631" s="101"/>
    </row>
    <row r="632" spans="2:2" s="102" customFormat="1">
      <c r="B632" s="101"/>
    </row>
    <row r="633" spans="2:2" s="102" customFormat="1">
      <c r="B633" s="101"/>
    </row>
    <row r="634" spans="2:2" s="102" customFormat="1">
      <c r="B634" s="101"/>
    </row>
    <row r="635" spans="2:2" s="102" customFormat="1">
      <c r="B635" s="101"/>
    </row>
    <row r="636" spans="2:2" s="102" customFormat="1">
      <c r="B636" s="101"/>
    </row>
    <row r="637" spans="2:2" s="102" customFormat="1">
      <c r="B637" s="101"/>
    </row>
    <row r="638" spans="2:2" s="102" customFormat="1">
      <c r="B638" s="101"/>
    </row>
    <row r="639" spans="2:2" s="102" customFormat="1">
      <c r="B639" s="101"/>
    </row>
    <row r="640" spans="2:2" s="102" customFormat="1">
      <c r="B640" s="101"/>
    </row>
    <row r="641" spans="2:2" s="102" customFormat="1">
      <c r="B641" s="101"/>
    </row>
    <row r="642" spans="2:2" s="102" customFormat="1">
      <c r="B642" s="101"/>
    </row>
    <row r="643" spans="2:2" s="102" customFormat="1">
      <c r="B643" s="101"/>
    </row>
    <row r="644" spans="2:2" s="102" customFormat="1">
      <c r="B644" s="101"/>
    </row>
    <row r="645" spans="2:2" s="102" customFormat="1">
      <c r="B645" s="101"/>
    </row>
    <row r="646" spans="2:2" s="102" customFormat="1">
      <c r="B646" s="101"/>
    </row>
    <row r="647" spans="2:2" s="102" customFormat="1">
      <c r="B647" s="101"/>
    </row>
    <row r="648" spans="2:2" s="102" customFormat="1">
      <c r="B648" s="101"/>
    </row>
    <row r="649" spans="2:2" s="102" customFormat="1">
      <c r="B649" s="101"/>
    </row>
    <row r="650" spans="2:2" s="102" customFormat="1">
      <c r="B650" s="101"/>
    </row>
    <row r="651" spans="2:2" s="102" customFormat="1">
      <c r="B651" s="101"/>
    </row>
    <row r="652" spans="2:2" s="102" customFormat="1">
      <c r="B652" s="101"/>
    </row>
    <row r="653" spans="2:2" s="102" customFormat="1">
      <c r="B653" s="101"/>
    </row>
    <row r="654" spans="2:2" s="102" customFormat="1">
      <c r="B654" s="101"/>
    </row>
    <row r="655" spans="2:2" s="102" customFormat="1">
      <c r="B655" s="101"/>
    </row>
    <row r="656" spans="2:2" s="102" customFormat="1">
      <c r="B656" s="101"/>
    </row>
    <row r="657" spans="2:2" s="102" customFormat="1">
      <c r="B657" s="101"/>
    </row>
    <row r="658" spans="2:2" s="102" customFormat="1">
      <c r="B658" s="101"/>
    </row>
    <row r="659" spans="2:2" s="102" customFormat="1">
      <c r="B659" s="101"/>
    </row>
    <row r="660" spans="2:2" s="102" customFormat="1">
      <c r="B660" s="101"/>
    </row>
    <row r="661" spans="2:2" s="102" customFormat="1">
      <c r="B661" s="101"/>
    </row>
    <row r="662" spans="2:2" s="102" customFormat="1">
      <c r="B662" s="101"/>
    </row>
    <row r="663" spans="2:2" s="102" customFormat="1">
      <c r="B663" s="101"/>
    </row>
    <row r="664" spans="2:2" s="102" customFormat="1">
      <c r="B664" s="101"/>
    </row>
    <row r="665" spans="2:2" s="102" customFormat="1">
      <c r="B665" s="101"/>
    </row>
    <row r="666" spans="2:2" s="102" customFormat="1">
      <c r="B666" s="101"/>
    </row>
    <row r="667" spans="2:2" s="102" customFormat="1">
      <c r="B667" s="101"/>
    </row>
    <row r="668" spans="2:2" s="102" customFormat="1">
      <c r="B668" s="101"/>
    </row>
    <row r="669" spans="2:2" s="102" customFormat="1">
      <c r="B669" s="101"/>
    </row>
    <row r="670" spans="2:2" s="102" customFormat="1">
      <c r="B670" s="101"/>
    </row>
    <row r="671" spans="2:2" s="102" customFormat="1">
      <c r="B671" s="101"/>
    </row>
    <row r="672" spans="2:2" s="102" customFormat="1">
      <c r="B672" s="101"/>
    </row>
    <row r="673" spans="2:2" s="102" customFormat="1">
      <c r="B673" s="101"/>
    </row>
    <row r="674" spans="2:2" s="102" customFormat="1">
      <c r="B674" s="101"/>
    </row>
    <row r="675" spans="2:2" s="102" customFormat="1">
      <c r="B675" s="101"/>
    </row>
    <row r="676" spans="2:2" s="102" customFormat="1">
      <c r="B676" s="101"/>
    </row>
    <row r="677" spans="2:2" s="102" customFormat="1">
      <c r="B677" s="101"/>
    </row>
    <row r="678" spans="2:2" s="102" customFormat="1">
      <c r="B678" s="101"/>
    </row>
    <row r="679" spans="2:2" s="102" customFormat="1">
      <c r="B679" s="101"/>
    </row>
    <row r="680" spans="2:2" s="102" customFormat="1">
      <c r="B680" s="101"/>
    </row>
    <row r="681" spans="2:2" s="102" customFormat="1">
      <c r="B681" s="101"/>
    </row>
    <row r="682" spans="2:2" s="102" customFormat="1">
      <c r="B682" s="101"/>
    </row>
    <row r="683" spans="2:2" s="102" customFormat="1">
      <c r="B683" s="101"/>
    </row>
    <row r="684" spans="2:2" s="102" customFormat="1">
      <c r="B684" s="101"/>
    </row>
    <row r="685" spans="2:2" s="102" customFormat="1">
      <c r="B685" s="101"/>
    </row>
    <row r="686" spans="2:2" s="102" customFormat="1">
      <c r="B686" s="101"/>
    </row>
    <row r="687" spans="2:2" s="102" customFormat="1">
      <c r="B687" s="101"/>
    </row>
    <row r="688" spans="2:2" s="102" customFormat="1">
      <c r="B688" s="101"/>
    </row>
    <row r="689" spans="2:2" s="102" customFormat="1">
      <c r="B689" s="101"/>
    </row>
    <row r="690" spans="2:2" s="102" customFormat="1">
      <c r="B690" s="101"/>
    </row>
    <row r="691" spans="2:2" s="102" customFormat="1">
      <c r="B691" s="101"/>
    </row>
    <row r="692" spans="2:2" s="102" customFormat="1">
      <c r="B692" s="101"/>
    </row>
    <row r="693" spans="2:2" s="102" customFormat="1">
      <c r="B693" s="101"/>
    </row>
    <row r="694" spans="2:2" s="102" customFormat="1">
      <c r="B694" s="101"/>
    </row>
    <row r="695" spans="2:2" s="102" customFormat="1">
      <c r="B695" s="101"/>
    </row>
    <row r="696" spans="2:2" s="102" customFormat="1">
      <c r="B696" s="101"/>
    </row>
    <row r="697" spans="2:2" s="102" customFormat="1">
      <c r="B697" s="101"/>
    </row>
    <row r="698" spans="2:2" s="102" customFormat="1">
      <c r="B698" s="101"/>
    </row>
    <row r="699" spans="2:2" s="102" customFormat="1">
      <c r="B699" s="101"/>
    </row>
    <row r="700" spans="2:2" s="102" customFormat="1">
      <c r="B700" s="101"/>
    </row>
    <row r="701" spans="2:2" s="102" customFormat="1">
      <c r="B701" s="101"/>
    </row>
    <row r="702" spans="2:2" s="102" customFormat="1">
      <c r="B702" s="101"/>
    </row>
    <row r="703" spans="2:2" s="102" customFormat="1">
      <c r="B703" s="101"/>
    </row>
    <row r="704" spans="2:2" s="102" customFormat="1">
      <c r="B704" s="101"/>
    </row>
    <row r="705" spans="2:2" s="102" customFormat="1">
      <c r="B705" s="101"/>
    </row>
    <row r="706" spans="2:2" s="102" customFormat="1">
      <c r="B706" s="101"/>
    </row>
    <row r="707" spans="2:2" s="102" customFormat="1">
      <c r="B707" s="101"/>
    </row>
    <row r="708" spans="2:2" s="102" customFormat="1">
      <c r="B708" s="101"/>
    </row>
    <row r="709" spans="2:2" s="102" customFormat="1">
      <c r="B709" s="101"/>
    </row>
    <row r="710" spans="2:2" s="102" customFormat="1">
      <c r="B710" s="101"/>
    </row>
    <row r="711" spans="2:2" s="102" customFormat="1">
      <c r="B711" s="101"/>
    </row>
    <row r="712" spans="2:2" s="102" customFormat="1">
      <c r="B712" s="101"/>
    </row>
    <row r="713" spans="2:2" s="102" customFormat="1">
      <c r="B713" s="101"/>
    </row>
    <row r="714" spans="2:2" s="102" customFormat="1">
      <c r="B714" s="101"/>
    </row>
    <row r="715" spans="2:2" s="102" customFormat="1">
      <c r="B715" s="101"/>
    </row>
    <row r="716" spans="2:2" s="102" customFormat="1">
      <c r="B716" s="101"/>
    </row>
    <row r="717" spans="2:2" s="102" customFormat="1">
      <c r="B717" s="101"/>
    </row>
    <row r="718" spans="2:2" s="102" customFormat="1">
      <c r="B718" s="101"/>
    </row>
    <row r="719" spans="2:2" s="102" customFormat="1">
      <c r="B719" s="101"/>
    </row>
    <row r="720" spans="2:2" s="102" customFormat="1">
      <c r="B720" s="101"/>
    </row>
    <row r="721" spans="2:2" s="102" customFormat="1">
      <c r="B721" s="101"/>
    </row>
    <row r="722" spans="2:2" s="102" customFormat="1">
      <c r="B722" s="101"/>
    </row>
    <row r="723" spans="2:2" s="102" customFormat="1">
      <c r="B723" s="101"/>
    </row>
    <row r="724" spans="2:2" s="102" customFormat="1">
      <c r="B724" s="101"/>
    </row>
    <row r="725" spans="2:2" s="102" customFormat="1">
      <c r="B725" s="101"/>
    </row>
    <row r="726" spans="2:2" s="102" customFormat="1">
      <c r="B726" s="101"/>
    </row>
    <row r="727" spans="2:2" s="102" customFormat="1">
      <c r="B727" s="101"/>
    </row>
    <row r="728" spans="2:2" s="102" customFormat="1">
      <c r="B728" s="101"/>
    </row>
    <row r="729" spans="2:2" s="102" customFormat="1">
      <c r="B729" s="101"/>
    </row>
    <row r="730" spans="2:2" s="102" customFormat="1">
      <c r="B730" s="101"/>
    </row>
    <row r="731" spans="2:2" s="102" customFormat="1">
      <c r="B731" s="101"/>
    </row>
    <row r="732" spans="2:2" s="102" customFormat="1">
      <c r="B732" s="101"/>
    </row>
    <row r="733" spans="2:2" s="102" customFormat="1">
      <c r="B733" s="101"/>
    </row>
    <row r="734" spans="2:2" s="102" customFormat="1">
      <c r="B734" s="101"/>
    </row>
    <row r="735" spans="2:2" s="102" customFormat="1">
      <c r="B735" s="101"/>
    </row>
    <row r="736" spans="2:2" s="102" customFormat="1">
      <c r="B736" s="101"/>
    </row>
    <row r="737" spans="2:2" s="102" customFormat="1">
      <c r="B737" s="101"/>
    </row>
    <row r="738" spans="2:2" s="102" customFormat="1">
      <c r="B738" s="101"/>
    </row>
    <row r="739" spans="2:2" s="102" customFormat="1">
      <c r="B739" s="101"/>
    </row>
    <row r="740" spans="2:2" s="102" customFormat="1">
      <c r="B740" s="101"/>
    </row>
    <row r="741" spans="2:2" s="102" customFormat="1">
      <c r="B741" s="101"/>
    </row>
    <row r="742" spans="2:2" s="102" customFormat="1">
      <c r="B742" s="101"/>
    </row>
    <row r="743" spans="2:2" s="102" customFormat="1">
      <c r="B743" s="101"/>
    </row>
    <row r="744" spans="2:2" s="102" customFormat="1">
      <c r="B744" s="101"/>
    </row>
    <row r="745" spans="2:2" s="102" customFormat="1">
      <c r="B745" s="101"/>
    </row>
    <row r="746" spans="2:2" s="102" customFormat="1">
      <c r="B746" s="101"/>
    </row>
    <row r="747" spans="2:2" s="102" customFormat="1">
      <c r="B747" s="101"/>
    </row>
    <row r="748" spans="2:2" s="102" customFormat="1">
      <c r="B748" s="101"/>
    </row>
    <row r="749" spans="2:2" s="102" customFormat="1">
      <c r="B749" s="101"/>
    </row>
    <row r="750" spans="2:2" s="102" customFormat="1">
      <c r="B750" s="101"/>
    </row>
    <row r="751" spans="2:2" s="102" customFormat="1">
      <c r="B751" s="101"/>
    </row>
    <row r="752" spans="2:2" s="102" customFormat="1">
      <c r="B752" s="101"/>
    </row>
    <row r="753" spans="2:2" s="102" customFormat="1">
      <c r="B753" s="101"/>
    </row>
    <row r="754" spans="2:2" s="102" customFormat="1">
      <c r="B754" s="101"/>
    </row>
    <row r="755" spans="2:2" s="102" customFormat="1">
      <c r="B755" s="101"/>
    </row>
    <row r="756" spans="2:2" s="102" customFormat="1">
      <c r="B756" s="101"/>
    </row>
    <row r="757" spans="2:2" s="102" customFormat="1">
      <c r="B757" s="101"/>
    </row>
    <row r="758" spans="2:2" s="102" customFormat="1">
      <c r="B758" s="101"/>
    </row>
    <row r="759" spans="2:2" s="102" customFormat="1">
      <c r="B759" s="101"/>
    </row>
    <row r="760" spans="2:2" s="102" customFormat="1">
      <c r="B760" s="101"/>
    </row>
    <row r="761" spans="2:2" s="102" customFormat="1">
      <c r="B761" s="101"/>
    </row>
    <row r="762" spans="2:2" s="102" customFormat="1">
      <c r="B762" s="101"/>
    </row>
    <row r="763" spans="2:2" s="102" customFormat="1">
      <c r="B763" s="101"/>
    </row>
    <row r="764" spans="2:2" s="102" customFormat="1">
      <c r="B764" s="101"/>
    </row>
    <row r="765" spans="2:2" s="102" customFormat="1">
      <c r="B765" s="101"/>
    </row>
    <row r="766" spans="2:2" s="102" customFormat="1">
      <c r="B766" s="101"/>
    </row>
    <row r="767" spans="2:2" s="102" customFormat="1">
      <c r="B767" s="101"/>
    </row>
    <row r="768" spans="2:2" s="102" customFormat="1">
      <c r="B768" s="101"/>
    </row>
    <row r="769" spans="2:2" s="102" customFormat="1">
      <c r="B769" s="101"/>
    </row>
    <row r="770" spans="2:2" s="102" customFormat="1">
      <c r="B770" s="101"/>
    </row>
    <row r="771" spans="2:2" s="102" customFormat="1">
      <c r="B771" s="101"/>
    </row>
    <row r="772" spans="2:2" s="102" customFormat="1">
      <c r="B772" s="101"/>
    </row>
    <row r="773" spans="2:2" s="102" customFormat="1">
      <c r="B773" s="101"/>
    </row>
    <row r="774" spans="2:2" s="102" customFormat="1">
      <c r="B774" s="101"/>
    </row>
    <row r="775" spans="2:2" s="102" customFormat="1">
      <c r="B775" s="101"/>
    </row>
    <row r="776" spans="2:2" s="102" customFormat="1">
      <c r="B776" s="101"/>
    </row>
    <row r="777" spans="2:2" s="102" customFormat="1">
      <c r="B777" s="101"/>
    </row>
    <row r="778" spans="2:2" s="102" customFormat="1">
      <c r="B778" s="101"/>
    </row>
    <row r="779" spans="2:2" s="102" customFormat="1">
      <c r="B779" s="101"/>
    </row>
    <row r="780" spans="2:2" s="102" customFormat="1">
      <c r="B780" s="101"/>
    </row>
    <row r="781" spans="2:2" s="102" customFormat="1">
      <c r="B781" s="101"/>
    </row>
    <row r="782" spans="2:2" s="102" customFormat="1">
      <c r="B782" s="101"/>
    </row>
    <row r="783" spans="2:2" s="102" customFormat="1">
      <c r="B783" s="101"/>
    </row>
    <row r="784" spans="2:2" s="102" customFormat="1">
      <c r="B784" s="101"/>
    </row>
    <row r="785" spans="2:22" s="102" customFormat="1">
      <c r="B785" s="101"/>
    </row>
    <row r="786" spans="2:22" s="102" customFormat="1">
      <c r="B786" s="101"/>
    </row>
    <row r="787" spans="2:22" s="604" customFormat="1">
      <c r="B787" s="453"/>
      <c r="C787" s="53"/>
      <c r="D787" s="53"/>
      <c r="E787" s="102"/>
      <c r="F787" s="102"/>
      <c r="G787" s="102"/>
      <c r="H787" s="102"/>
      <c r="I787" s="102"/>
      <c r="L787" s="53"/>
      <c r="N787" s="53"/>
      <c r="O787" s="53"/>
      <c r="P787" s="53"/>
      <c r="Q787" s="53"/>
      <c r="R787" s="53"/>
      <c r="S787" s="53"/>
      <c r="T787" s="53"/>
      <c r="U787" s="53"/>
      <c r="V787" s="53"/>
    </row>
  </sheetData>
  <sortState ref="A11:V19">
    <sortCondition ref="B11:B19"/>
  </sortState>
  <mergeCells count="5">
    <mergeCell ref="T9:V9"/>
    <mergeCell ref="Q7:R7"/>
    <mergeCell ref="F9:K9"/>
    <mergeCell ref="L9:P9"/>
    <mergeCell ref="Q9:R9"/>
  </mergeCells>
  <hyperlinks>
    <hyperlink ref="Q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5" min="2" max="17" man="1"/>
  </rowBreaks>
  <colBreaks count="1" manualBreakCount="1">
    <brk id="12" max="51"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74</vt:i4>
      </vt:variant>
    </vt:vector>
  </HeadingPairs>
  <TitlesOfParts>
    <vt:vector size="147" baseType="lpstr">
      <vt:lpstr>Index</vt:lpstr>
      <vt:lpstr>SREB Input</vt:lpstr>
      <vt:lpstr>HRI Space Model</vt:lpstr>
      <vt:lpstr>HRI CTG Costs</vt:lpstr>
      <vt:lpstr>HRI Funding Comp</vt:lpstr>
      <vt:lpstr>Healthcare</vt:lpstr>
      <vt:lpstr>IFRS Smmy (2)</vt:lpstr>
      <vt:lpstr>IFRS Smmy</vt:lpstr>
      <vt:lpstr>Almanac</vt:lpstr>
      <vt:lpstr>TRB Eval HRI</vt:lpstr>
      <vt:lpstr>T&amp;F Summary</vt:lpstr>
      <vt:lpstr>HRI_IE_Context</vt:lpstr>
      <vt:lpstr>HRI_IE_Keys</vt:lpstr>
      <vt:lpstr>HRI Context NA</vt:lpstr>
      <vt:lpstr>HRI Keys NA</vt:lpstr>
      <vt:lpstr>ComRpt</vt:lpstr>
      <vt:lpstr>Smmy HRI SbS</vt:lpstr>
      <vt:lpstr>Smmy Chts</vt:lpstr>
      <vt:lpstr>Smmy Sum</vt:lpstr>
      <vt:lpstr>Smmy FGD</vt:lpstr>
      <vt:lpstr>Smmy Fnts</vt:lpstr>
      <vt:lpstr>SWM Chts</vt:lpstr>
      <vt:lpstr>SWM Sum</vt:lpstr>
      <vt:lpstr>SWM FGD</vt:lpstr>
      <vt:lpstr>SWM Fnts</vt:lpstr>
      <vt:lpstr>MBG Chts</vt:lpstr>
      <vt:lpstr>MBG Sum</vt:lpstr>
      <vt:lpstr>MBG FGD</vt:lpstr>
      <vt:lpstr>MBG Fnts</vt:lpstr>
      <vt:lpstr>HSH Chts</vt:lpstr>
      <vt:lpstr>HSH Sum</vt:lpstr>
      <vt:lpstr>HSH FGD</vt:lpstr>
      <vt:lpstr>HSH Fnts</vt:lpstr>
      <vt:lpstr>HSSA Chts</vt:lpstr>
      <vt:lpstr>HSSA Sum</vt:lpstr>
      <vt:lpstr>HSSA FGD</vt:lpstr>
      <vt:lpstr>HSSA Fnts</vt:lpstr>
      <vt:lpstr>MDA Chts</vt:lpstr>
      <vt:lpstr>MDA Sum</vt:lpstr>
      <vt:lpstr>MDA FGD</vt:lpstr>
      <vt:lpstr>MDA Fnts</vt:lpstr>
      <vt:lpstr>THC Chts</vt:lpstr>
      <vt:lpstr>THC Sum</vt:lpstr>
      <vt:lpstr>THC FGD</vt:lpstr>
      <vt:lpstr>THC Fnts</vt:lpstr>
      <vt:lpstr>TAMHSC Chts</vt:lpstr>
      <vt:lpstr>TAMHSC Sum</vt:lpstr>
      <vt:lpstr>TAMHSC FGD</vt:lpstr>
      <vt:lpstr>TAMHSC Fnts</vt:lpstr>
      <vt:lpstr>UNTHSC Chts</vt:lpstr>
      <vt:lpstr>UNTHSC Sum</vt:lpstr>
      <vt:lpstr>UNTHSC FGD</vt:lpstr>
      <vt:lpstr>UNTHSC Fnts</vt:lpstr>
      <vt:lpstr>TTUHSC Chts</vt:lpstr>
      <vt:lpstr>TTUHSC Sum</vt:lpstr>
      <vt:lpstr>TTUHSC FGD</vt:lpstr>
      <vt:lpstr>TTUHSC Fnts</vt:lpstr>
      <vt:lpstr>TTUHSCEP Chts</vt:lpstr>
      <vt:lpstr>TTUHSCEP Sum</vt:lpstr>
      <vt:lpstr>TTUHSCEP FGD</vt:lpstr>
      <vt:lpstr>TTUHSCEP Fnts</vt:lpstr>
      <vt:lpstr>AUSM Chts</vt:lpstr>
      <vt:lpstr>AUSM Sum</vt:lpstr>
      <vt:lpstr>AUSM FGD</vt:lpstr>
      <vt:lpstr>AUSM Fnts</vt:lpstr>
      <vt:lpstr>RGVM Chts</vt:lpstr>
      <vt:lpstr>RGVM Sum</vt:lpstr>
      <vt:lpstr>RGVM FGD</vt:lpstr>
      <vt:lpstr>RGVM Fnts</vt:lpstr>
      <vt:lpstr>Names</vt:lpstr>
      <vt:lpstr>Input</vt:lpstr>
      <vt:lpstr>FTSE</vt:lpstr>
      <vt:lpstr>Balancing</vt:lpstr>
      <vt:lpstr>ComRpt!AMTLU</vt:lpstr>
      <vt:lpstr>Healthcare!AMTLU</vt:lpstr>
      <vt:lpstr>AMTLU</vt:lpstr>
      <vt:lpstr>ComRpt!FTSELU</vt:lpstr>
      <vt:lpstr>Healthcare!FTSELU</vt:lpstr>
      <vt:lpstr>FTSELU</vt:lpstr>
      <vt:lpstr>ComRpt!NamesLU</vt:lpstr>
      <vt:lpstr>NamesLU</vt:lpstr>
      <vt:lpstr>Almanac!Print_Area</vt:lpstr>
      <vt:lpstr>'AUSM Chts'!Print_Area</vt:lpstr>
      <vt:lpstr>'AUSM FGD'!Print_Area</vt:lpstr>
      <vt:lpstr>'AUSM Fnts'!Print_Area</vt:lpstr>
      <vt:lpstr>'AUSM Sum'!Print_Area</vt:lpstr>
      <vt:lpstr>'HRI Context NA'!Print_Area</vt:lpstr>
      <vt:lpstr>'HRI Keys NA'!Print_Area</vt:lpstr>
      <vt:lpstr>'HRI Space Model'!Print_Area</vt:lpstr>
      <vt:lpstr>HRI_IE_Context!Print_Area</vt:lpstr>
      <vt:lpstr>HRI_IE_Keys!Print_Area</vt:lpstr>
      <vt:lpstr>'HSH Chts'!Print_Area</vt:lpstr>
      <vt:lpstr>'HSH FGD'!Print_Area</vt:lpstr>
      <vt:lpstr>'HSH Fnts'!Print_Area</vt:lpstr>
      <vt:lpstr>'HSH Sum'!Print_Area</vt:lpstr>
      <vt:lpstr>'HSSA Chts'!Print_Area</vt:lpstr>
      <vt:lpstr>'HSSA FGD'!Print_Area</vt:lpstr>
      <vt:lpstr>'HSSA Fnts'!Print_Area</vt:lpstr>
      <vt:lpstr>'HSSA Sum'!Print_Area</vt:lpstr>
      <vt:lpstr>'IFRS Smmy'!Print_Area</vt:lpstr>
      <vt:lpstr>'IFRS Smmy (2)'!Print_Area</vt:lpstr>
      <vt:lpstr>'MBG Chts'!Print_Area</vt:lpstr>
      <vt:lpstr>'MBG FGD'!Print_Area</vt:lpstr>
      <vt:lpstr>'MBG Fnts'!Print_Area</vt:lpstr>
      <vt:lpstr>'MBG Sum'!Print_Area</vt:lpstr>
      <vt:lpstr>'MDA Chts'!Print_Area</vt:lpstr>
      <vt:lpstr>'MDA FGD'!Print_Area</vt:lpstr>
      <vt:lpstr>'MDA Fnts'!Print_Area</vt:lpstr>
      <vt:lpstr>'MDA Sum'!Print_Area</vt:lpstr>
      <vt:lpstr>Names!Print_Area</vt:lpstr>
      <vt:lpstr>'RGVM Chts'!Print_Area</vt:lpstr>
      <vt:lpstr>'RGVM FGD'!Print_Area</vt:lpstr>
      <vt:lpstr>'RGVM Fnts'!Print_Area</vt:lpstr>
      <vt:lpstr>'RGVM Sum'!Print_Area</vt:lpstr>
      <vt:lpstr>'Smmy Chts'!Print_Area</vt:lpstr>
      <vt:lpstr>'Smmy FGD'!Print_Area</vt:lpstr>
      <vt:lpstr>'Smmy Fnts'!Print_Area</vt:lpstr>
      <vt:lpstr>'Smmy HRI SbS'!Print_Area</vt:lpstr>
      <vt:lpstr>'Smmy Sum'!Print_Area</vt:lpstr>
      <vt:lpstr>'SWM Chts'!Print_Area</vt:lpstr>
      <vt:lpstr>'SWM FGD'!Print_Area</vt:lpstr>
      <vt:lpstr>'SWM Fnts'!Print_Area</vt:lpstr>
      <vt:lpstr>'SWM Sum'!Print_Area</vt:lpstr>
      <vt:lpstr>'T&amp;F Summary'!Print_Area</vt:lpstr>
      <vt:lpstr>'TAMHSC Chts'!Print_Area</vt:lpstr>
      <vt:lpstr>'TAMHSC FGD'!Print_Area</vt:lpstr>
      <vt:lpstr>'TAMHSC Fnts'!Print_Area</vt:lpstr>
      <vt:lpstr>'TAMHSC Sum'!Print_Area</vt:lpstr>
      <vt:lpstr>'THC Chts'!Print_Area</vt:lpstr>
      <vt:lpstr>'THC FGD'!Print_Area</vt:lpstr>
      <vt:lpstr>'THC Fnts'!Print_Area</vt:lpstr>
      <vt:lpstr>'THC Sum'!Print_Area</vt:lpstr>
      <vt:lpstr>'TRB Eval HRI'!Print_Area</vt:lpstr>
      <vt:lpstr>'TTUHSC Chts'!Print_Area</vt:lpstr>
      <vt:lpstr>'TTUHSC FGD'!Print_Area</vt:lpstr>
      <vt:lpstr>'TTUHSC Fnts'!Print_Area</vt:lpstr>
      <vt:lpstr>'TTUHSC Sum'!Print_Area</vt:lpstr>
      <vt:lpstr>'TTUHSCEP Chts'!Print_Area</vt:lpstr>
      <vt:lpstr>'TTUHSCEP FGD'!Print_Area</vt:lpstr>
      <vt:lpstr>'TTUHSCEP Fnts'!Print_Area</vt:lpstr>
      <vt:lpstr>'TTUHSCEP Sum'!Print_Area</vt:lpstr>
      <vt:lpstr>'UNTHSC Chts'!Print_Area</vt:lpstr>
      <vt:lpstr>'UNTHSC FGD'!Print_Area</vt:lpstr>
      <vt:lpstr>'UNTHSC Fnts'!Print_Area</vt:lpstr>
      <vt:lpstr>'UNTHSC Sum'!Print_Area</vt:lpstr>
      <vt:lpstr>ComRpt!Print_Titles</vt:lpstr>
      <vt:lpstr>'Smmy HRI SbS'!Print_Titles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of Funds Detail Health-Related - FY 2018</dc:title>
  <dc:subject>Sources and Uses of Funds</dc:subject>
  <dc:creator>Strategic Planning and Funding</dc:creator>
  <cp:keywords>sources and uses</cp:keywords>
  <cp:lastModifiedBy>kingcd</cp:lastModifiedBy>
  <cp:lastPrinted>2018-02-07T15:42:03Z</cp:lastPrinted>
  <dcterms:created xsi:type="dcterms:W3CDTF">2004-08-05T19:38:30Z</dcterms:created>
  <dcterms:modified xsi:type="dcterms:W3CDTF">2019-02-07T22:44:11Z</dcterms:modified>
</cp:coreProperties>
</file>